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80" windowHeight="1170" tabRatio="601" activeTab="0"/>
  </bookViews>
  <sheets>
    <sheet name="Half Year-2015" sheetId="1" r:id="rId1"/>
    <sheet name="BS" sheetId="2" r:id="rId2"/>
    <sheet name="PL" sheetId="3" r:id="rId3"/>
    <sheet name="CF" sheetId="4" r:id="rId4"/>
    <sheet name="Fixed Assets" sheetId="5" r:id="rId5"/>
    <sheet name="N-2" sheetId="6" r:id="rId6"/>
    <sheet name="N-3" sheetId="7" r:id="rId7"/>
    <sheet name="N-4" sheetId="8" r:id="rId8"/>
    <sheet name="N-5" sheetId="9" r:id="rId9"/>
  </sheets>
  <definedNames>
    <definedName name="_xlnm.Print_Area" localSheetId="1">'BS'!$B$2:$H$44</definedName>
    <definedName name="_xlnm.Print_Area" localSheetId="3">'CF'!$B$2:$H$29</definedName>
    <definedName name="_xlnm.Print_Area" localSheetId="4">'Fixed Assets'!$B$1:$N$70</definedName>
    <definedName name="_xlnm.Print_Area" localSheetId="0">'Half Year-2015'!$A$1:$P$68</definedName>
    <definedName name="_xlnm.Print_Area" localSheetId="5">'N-2'!$A$1:$F$61</definedName>
    <definedName name="_xlnm.Print_Area" localSheetId="6">'N-3'!$A$1:$H$19</definedName>
    <definedName name="_xlnm.Print_Area" localSheetId="7">'N-4'!$A$1:$F$96</definedName>
    <definedName name="_xlnm.Print_Area" localSheetId="8">'N-5'!$B$1:$G$66</definedName>
    <definedName name="_xlnm.Print_Area" localSheetId="2">'PL'!$C$2:$H$32</definedName>
  </definedNames>
  <calcPr fullCalcOnLoad="1"/>
</workbook>
</file>

<file path=xl/sharedStrings.xml><?xml version="1.0" encoding="utf-8"?>
<sst xmlns="http://schemas.openxmlformats.org/spreadsheetml/2006/main" count="528" uniqueCount="348">
  <si>
    <t>Premium</t>
  </si>
  <si>
    <t>Collection from Sales &amp; Others</t>
  </si>
  <si>
    <t>Payment for Cost &amp; Expenses</t>
  </si>
  <si>
    <t>AUTHORIZED CAPITAL</t>
  </si>
  <si>
    <t>No. of Shares</t>
  </si>
  <si>
    <t xml:space="preserve"> %</t>
  </si>
  <si>
    <t>Non-Current Assets</t>
  </si>
  <si>
    <t>Current Assets</t>
  </si>
  <si>
    <t>Current Liabilities</t>
  </si>
  <si>
    <t>Tk.</t>
  </si>
  <si>
    <t>Basic Earning per Share (EPS)</t>
  </si>
  <si>
    <t>Share Premium</t>
  </si>
  <si>
    <t>03.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</si>
  <si>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</si>
  <si>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</si>
  <si>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</si>
  <si>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</si>
  <si>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</si>
  <si>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</si>
  <si>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HAQUE SHAHALAM MANSUR &amp; CO.</t>
  </si>
  <si>
    <t>Chartered Accountants</t>
  </si>
  <si>
    <t>Taka</t>
  </si>
  <si>
    <t>Gross Profit</t>
  </si>
  <si>
    <t>Operating Expenses</t>
  </si>
  <si>
    <t>Cost of Goods Sold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</si>
  <si>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</si>
  <si>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</si>
  <si>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</si>
  <si>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</si>
  <si>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</si>
  <si>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</si>
  <si>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</si>
  <si>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General Public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</si>
  <si>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</si>
  <si>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</si>
  <si>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</si>
  <si>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</si>
  <si>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</si>
  <si>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Selling &amp; Distribution Expenses</t>
  </si>
  <si>
    <t>Share Capital</t>
  </si>
  <si>
    <t>Retained Earnings</t>
  </si>
  <si>
    <t>Retained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</si>
  <si>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</si>
  <si>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</si>
  <si>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</si>
  <si>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</si>
  <si>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</si>
  <si>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</si>
  <si>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</si>
  <si>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</si>
  <si>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</si>
  <si>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</si>
  <si>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</si>
  <si>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</si>
  <si>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</si>
  <si>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Property &amp; Assets</t>
  </si>
  <si>
    <t>Capital &amp; Liabilities</t>
  </si>
  <si>
    <t>Administrative &amp; General Expenses</t>
  </si>
  <si>
    <t>Revaluation Reserve</t>
  </si>
  <si>
    <t>The break-up of the amount is shown below :</t>
  </si>
  <si>
    <t>The break-up of the amount is shown below</t>
  </si>
  <si>
    <t>Factory (Cash &amp; Bank)</t>
  </si>
  <si>
    <t>Agrani Bank-Principal Br.</t>
  </si>
  <si>
    <t>04.</t>
  </si>
  <si>
    <t>The break-up of the amount is shown below:</t>
  </si>
  <si>
    <t>05.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</si>
  <si>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</si>
  <si>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</si>
  <si>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</si>
  <si>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</si>
  <si>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</si>
  <si>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</si>
  <si>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</si>
  <si>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 xml:space="preserve">CASH: </t>
  </si>
  <si>
    <t>Head Office</t>
  </si>
  <si>
    <t>BANK:</t>
  </si>
  <si>
    <t>SHARE CAPITAL: TK. 48,500,000</t>
  </si>
  <si>
    <t>Total Taka</t>
  </si>
  <si>
    <t>Directors/Sponsors</t>
  </si>
  <si>
    <t>Financial Institutions</t>
  </si>
  <si>
    <t>ICB Investors Account</t>
  </si>
  <si>
    <t>General Reserve</t>
  </si>
  <si>
    <t>Dividend Equalization Fund</t>
  </si>
  <si>
    <t>SHARE PREMIUM: TK. 106,700,000</t>
  </si>
  <si>
    <t>TAX HOLIDAY RESERVE: TK. 23,016,918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</si>
  <si>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</si>
  <si>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</si>
  <si>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</si>
  <si>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</si>
  <si>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</si>
  <si>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</si>
  <si>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</si>
  <si>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</si>
  <si>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</si>
  <si>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</si>
  <si>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</si>
  <si>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</si>
  <si>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</si>
  <si>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</si>
  <si>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</si>
  <si>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</si>
  <si>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</si>
  <si>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</si>
  <si>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</si>
  <si>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</si>
  <si>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</si>
  <si>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</si>
  <si>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</si>
  <si>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</si>
  <si>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</si>
  <si>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</si>
  <si>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</si>
  <si>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</si>
  <si>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</si>
  <si>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Internet Bill Expenses</t>
  </si>
  <si>
    <t>Depreciation</t>
  </si>
  <si>
    <t>Bank Charges</t>
  </si>
  <si>
    <t>Cost of Goods Manufactured</t>
  </si>
  <si>
    <t>Cost of Materials Consumed</t>
  </si>
  <si>
    <t>This is made up as follows:</t>
  </si>
  <si>
    <t>Wages &amp; Salaries</t>
  </si>
  <si>
    <t>Financial Expenses</t>
  </si>
  <si>
    <t>Net Cash Inflow/(Outflow)</t>
  </si>
  <si>
    <t>Cash &amp; Bank Balances</t>
  </si>
  <si>
    <t>Workers' Profit Participation/Welfare Fund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</si>
  <si>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</si>
  <si>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</si>
  <si>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</si>
  <si>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</si>
  <si>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</si>
  <si>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</si>
  <si>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</si>
  <si>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</si>
  <si>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</si>
  <si>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</si>
  <si>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</si>
  <si>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</si>
  <si>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</si>
  <si>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</si>
  <si>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</si>
  <si>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</si>
  <si>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</si>
  <si>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</si>
  <si>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</si>
  <si>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19.</t>
  </si>
  <si>
    <t>Margin on Bank Guarantee</t>
  </si>
  <si>
    <t>Board Meeting Fees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</si>
  <si>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</si>
  <si>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</si>
  <si>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</si>
  <si>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</si>
  <si>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</si>
  <si>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</si>
  <si>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</si>
  <si>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</si>
  <si>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</si>
  <si>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</si>
  <si>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</si>
  <si>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</si>
  <si>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</si>
  <si>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</si>
  <si>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Net Operating Cash Flow per Share</t>
  </si>
  <si>
    <t>Note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</si>
  <si>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</si>
  <si>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</si>
  <si>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</si>
  <si>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</si>
  <si>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</si>
  <si>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31st December</t>
  </si>
  <si>
    <t>January to</t>
  </si>
  <si>
    <t xml:space="preserve">Raw Materials </t>
  </si>
  <si>
    <t xml:space="preserve">Finished Goods </t>
  </si>
  <si>
    <t xml:space="preserve">Work-in-Process </t>
  </si>
  <si>
    <t>01.</t>
  </si>
  <si>
    <t>Turnover (In M.Ton)</t>
  </si>
  <si>
    <t>Payment of  Lease Rental</t>
  </si>
  <si>
    <t>Payment of  Gratuity</t>
  </si>
  <si>
    <t>Net Profit after tax</t>
  </si>
  <si>
    <t>Weighted average number of ordinary shares in issue</t>
  </si>
  <si>
    <t>Net Cash from Operating Activities</t>
  </si>
  <si>
    <t>Basic EPS</t>
  </si>
  <si>
    <t>(%)</t>
  </si>
  <si>
    <t>on Sales</t>
  </si>
  <si>
    <r>
      <t>Note:-</t>
    </r>
    <r>
      <rPr>
        <sz val="10"/>
        <rFont val="Arial"/>
        <family val="0"/>
      </rPr>
      <t>The Company and Banks have gone into litigation to mitigate  their respective</t>
    </r>
  </si>
  <si>
    <t xml:space="preserve">Revaluation Reserve </t>
  </si>
  <si>
    <t xml:space="preserve">Tax Holiday Reserve </t>
  </si>
  <si>
    <t xml:space="preserve">Opening Cash &amp; Bank Balances </t>
  </si>
  <si>
    <t xml:space="preserve">Closing Cash &amp; Bank Balances </t>
  </si>
  <si>
    <t>Total Taka:-</t>
  </si>
  <si>
    <t>5,000,000 Ordinary Shares of Tk. 10/- each</t>
  </si>
  <si>
    <t xml:space="preserve"> Composition of Shareholding:</t>
  </si>
  <si>
    <t>485,000 Ordinary Shares of Tk. 10/- each paid-up in full</t>
  </si>
  <si>
    <t>AGM Expenses</t>
  </si>
  <si>
    <t xml:space="preserve">Materials </t>
  </si>
  <si>
    <t>30th June</t>
  </si>
  <si>
    <t xml:space="preserve">Factory Overhead </t>
  </si>
  <si>
    <t xml:space="preserve">Cost of Materials Consumed </t>
  </si>
  <si>
    <t xml:space="preserve">Cost of Goods Manufactured </t>
  </si>
  <si>
    <t>Total Assets:-</t>
  </si>
  <si>
    <t>Total Shareholders’ Equity &amp; Liabilities:-</t>
  </si>
  <si>
    <t xml:space="preserve">Donation </t>
  </si>
  <si>
    <t>June,2014</t>
  </si>
  <si>
    <t>02.</t>
  </si>
  <si>
    <t>WORKERS' PROFIT PARTICIPATION/WELFARE FUND: TK.199,413</t>
  </si>
  <si>
    <t>17.01</t>
  </si>
  <si>
    <t>17.02</t>
  </si>
  <si>
    <t>17.03</t>
  </si>
  <si>
    <t xml:space="preserve">INCOME STATEMENT </t>
  </si>
  <si>
    <t>Legal ,Taxes/Vat ,Listing &amp; Renewal Exp.</t>
  </si>
  <si>
    <t>HALF YEARLY  FINANCIAL STATEMENT</t>
  </si>
  <si>
    <t>Cash flow Statement (Un-audited)</t>
  </si>
  <si>
    <r>
      <t xml:space="preserve">           </t>
    </r>
    <r>
      <rPr>
        <b/>
        <u val="single"/>
        <sz val="9"/>
        <rFont val="Arial"/>
        <family val="2"/>
      </rPr>
      <t>Registered Office : 93, Motijheel C/A, Dhaka-1000.</t>
    </r>
  </si>
  <si>
    <t xml:space="preserve"> </t>
  </si>
  <si>
    <t>Taka'000s</t>
  </si>
  <si>
    <t>1 Jan to</t>
  </si>
  <si>
    <t>Taka '000s</t>
  </si>
  <si>
    <t>Advances,Deposits &amp; Prepayments</t>
  </si>
  <si>
    <t>Total Assets</t>
  </si>
  <si>
    <t>Payment of  SEBL  Term Loan</t>
  </si>
  <si>
    <t>EQUITY &amp; LIABILITIES</t>
  </si>
  <si>
    <t>Net Cash  Inflow / (outflow)</t>
  </si>
  <si>
    <t>(Md. Nurul Absar)</t>
  </si>
  <si>
    <t>Managing Director (C.C)</t>
  </si>
  <si>
    <t>Total Equity &amp; Liabilities</t>
  </si>
  <si>
    <t>Statement of Changes in Shareholders' Equity (Un-audited)</t>
  </si>
  <si>
    <t xml:space="preserve">Revenue </t>
  </si>
  <si>
    <t>Capital</t>
  </si>
  <si>
    <t>Reserve</t>
  </si>
  <si>
    <t>Loss</t>
  </si>
  <si>
    <t>Income Statement (Un-audited)</t>
  </si>
  <si>
    <t xml:space="preserve">Balance as at </t>
  </si>
  <si>
    <t>Jan to</t>
  </si>
  <si>
    <t xml:space="preserve">April to </t>
  </si>
  <si>
    <t xml:space="preserve">Net profit for </t>
  </si>
  <si>
    <t>June'14</t>
  </si>
  <si>
    <t>the period of 1st Jan</t>
  </si>
  <si>
    <t xml:space="preserve">Balance as </t>
  </si>
  <si>
    <t xml:space="preserve">Workers profit participation Fund </t>
  </si>
  <si>
    <t>1st Jan-2014</t>
  </si>
  <si>
    <t>to 30th June-2014</t>
  </si>
  <si>
    <t xml:space="preserve"> Earning per Share (EPS)</t>
  </si>
  <si>
    <t>AS ON 30TH JUNE-2015</t>
  </si>
  <si>
    <t>Non-Current Liabilities</t>
  </si>
  <si>
    <t xml:space="preserve">Term Loan </t>
  </si>
  <si>
    <t>Deferred Tax Liabilities</t>
  </si>
  <si>
    <t xml:space="preserve">Balance </t>
  </si>
  <si>
    <t>Long Term Loan (SEBL)</t>
  </si>
  <si>
    <t>Long Term Loan (UBL)</t>
  </si>
  <si>
    <t>Interest Block A/C</t>
  </si>
  <si>
    <t>Adjustment for Re-valuation</t>
  </si>
  <si>
    <t>Adjustment for Lease Rent</t>
  </si>
  <si>
    <t>Balance Sheet (Un-audited) as at 3oth June, 2015</t>
  </si>
  <si>
    <t>June'15</t>
  </si>
  <si>
    <t>Filter Making Cost</t>
  </si>
  <si>
    <t>FOR THE PERIOD ENDED 30TH JUNE-2015</t>
  </si>
  <si>
    <t>June,2015</t>
  </si>
  <si>
    <t>Payment to Supplier &amp; Cost of Exp.</t>
  </si>
  <si>
    <t>for the period from 1st January to 30th June ,2015</t>
  </si>
  <si>
    <t>for the period from 1st January to 30thJune2015</t>
  </si>
  <si>
    <t>1st Jan-2015</t>
  </si>
  <si>
    <t>to 30th June-2015</t>
  </si>
  <si>
    <t>30th June-2015</t>
  </si>
  <si>
    <t>NET OPERATING CASH FLOW PER SHARE: TK.1.07</t>
  </si>
  <si>
    <t>BASIC EARNING PER SHARE (EPS): TK (1.06)</t>
  </si>
  <si>
    <t>FINANCIAL EXPENSES: TK. 32,413</t>
  </si>
  <si>
    <t>PROVISION FOR INCOME TAX: TK. 6,504,804</t>
  </si>
  <si>
    <t>CREDITORS &amp; ACCRUALS: TK. 2,785,481</t>
  </si>
  <si>
    <t>ACCOUNTS PAYABLE (GOODS SUPPLY): TK. 51,117,002</t>
  </si>
  <si>
    <t>Deferred Tax Liabilities:Tk.29,857,236</t>
  </si>
  <si>
    <t>Term Loan Tk.152,447,458</t>
  </si>
  <si>
    <t>RETAINED EARNINGS: TK. (472,703,837</t>
  </si>
  <si>
    <t>REVALUATION RESERVE: TK. 41,780,584</t>
  </si>
  <si>
    <t>REVENUE RESERVE &amp; SURPLUS: TK. 65,652,502</t>
  </si>
  <si>
    <t>CASH &amp; BANK BALANCES: TK. 1,505,030</t>
  </si>
  <si>
    <t>ADVANCES, DEPOSITS &amp; PREPAYMENTS: TK. 26,243,731</t>
  </si>
  <si>
    <t>ACCOUNTS RECEIVABLE-TRADE: TK. 100,667,810</t>
  </si>
  <si>
    <t>INVENTORIES: TK. 106,918,773</t>
  </si>
  <si>
    <t>PRE-PRODUCTION EXPENSES: TK. 18,360,031</t>
  </si>
  <si>
    <t>06.</t>
  </si>
  <si>
    <t>8.01</t>
  </si>
  <si>
    <t>8.02</t>
  </si>
  <si>
    <t>9.</t>
  </si>
  <si>
    <t>Advance VAT Deposit</t>
  </si>
  <si>
    <t>FACTORY OVERHEAD: TK. 9,215,783</t>
  </si>
  <si>
    <t>ADMINISTRATIVE &amp; GENERAL EXPENSES: TK. 7,827,144</t>
  </si>
  <si>
    <t>Payment of  SEBL Loan Installment</t>
  </si>
  <si>
    <t>Net (Loss) Profit before Income Tax</t>
  </si>
  <si>
    <t>Net(Loss)  Profit after Income Tax</t>
  </si>
  <si>
    <t xml:space="preserve">Operating(Loss) Profit </t>
  </si>
  <si>
    <t>Net (Loss) Profit after  Tax</t>
  </si>
  <si>
    <t>Tax provission onTurnover</t>
  </si>
  <si>
    <t>Tax provission on Turnover</t>
  </si>
  <si>
    <t>Operating  (Loss) Profit before WPPF</t>
  </si>
  <si>
    <t>COST OF MATERIALS CONSUMED: TK. 96,688,523</t>
  </si>
  <si>
    <t>COST OF GOODS MANUFACTURED: TK. 110,547,172</t>
  </si>
  <si>
    <t>COST OF GOODS SOLD: TK. 115,153,639</t>
  </si>
  <si>
    <t xml:space="preserve">Net Loss for </t>
  </si>
  <si>
    <r>
      <t xml:space="preserve">Net( Loss)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>Profit before  Tax</t>
    </r>
  </si>
  <si>
    <t>for the period from 1st January to 30th June-2015</t>
  </si>
  <si>
    <t>at 30th June-2014</t>
  </si>
  <si>
    <t>As such no interest has been charged during the period against those loans. Previous year 's</t>
  </si>
  <si>
    <t>figures has been re-arranged where necessary.</t>
  </si>
  <si>
    <t xml:space="preserve">Note:- The Company and Banks have gone into litigation to mitigate their respective grievances. </t>
  </si>
  <si>
    <t>grievances. And such no interest has been charged during the period against those loans.</t>
  </si>
  <si>
    <t>Previous year's figures  has been re-arranged where necessary.</t>
  </si>
  <si>
    <t>Cost</t>
  </si>
  <si>
    <t>Revaluation</t>
  </si>
  <si>
    <t>Dep. on</t>
  </si>
  <si>
    <t>Written down</t>
  </si>
  <si>
    <t>As on</t>
  </si>
  <si>
    <t>Addition</t>
  </si>
  <si>
    <t>Adjustment</t>
  </si>
  <si>
    <t xml:space="preserve">As on </t>
  </si>
  <si>
    <t>Rate</t>
  </si>
  <si>
    <t>Charged</t>
  </si>
  <si>
    <t>Surplus</t>
  </si>
  <si>
    <t xml:space="preserve">value as on </t>
  </si>
  <si>
    <t>during the year</t>
  </si>
  <si>
    <t>Assets</t>
  </si>
  <si>
    <t>Unit-1</t>
  </si>
  <si>
    <t>Land &amp; Land Development</t>
  </si>
  <si>
    <t>Building &amp; Other Construction</t>
  </si>
  <si>
    <t>Roads &amp; Sewerage</t>
  </si>
  <si>
    <t>Electrical Installation</t>
  </si>
  <si>
    <t>Plant &amp; Machineries</t>
  </si>
  <si>
    <t>Furniture &amp; Fixtures</t>
  </si>
  <si>
    <t>Fittings</t>
  </si>
  <si>
    <t>Office Equipments</t>
  </si>
  <si>
    <t>Loose Tools</t>
  </si>
  <si>
    <t>Motor Vehicles</t>
  </si>
  <si>
    <t>Weight Bridge Equipments</t>
  </si>
  <si>
    <t>Factory Equipments</t>
  </si>
  <si>
    <t>Pump House</t>
  </si>
  <si>
    <t>Crockeries &amp; Cutleries</t>
  </si>
  <si>
    <t>Sundry Assets</t>
  </si>
  <si>
    <t>Sub-Total</t>
  </si>
  <si>
    <t>Unit-2</t>
  </si>
  <si>
    <t>Unit-3</t>
  </si>
  <si>
    <t>Unit-4</t>
  </si>
  <si>
    <t>Factory  Equipments</t>
  </si>
  <si>
    <t>Unit-5</t>
  </si>
  <si>
    <t>Gas Line Installation</t>
  </si>
  <si>
    <t>Unit-6</t>
  </si>
  <si>
    <t>01-01-2015</t>
  </si>
  <si>
    <t>30-06-2015</t>
  </si>
  <si>
    <t>Fixed Assets: Tk. 98,442,746</t>
  </si>
  <si>
    <t>TURNOVER: TK.118,432,757</t>
  </si>
  <si>
    <t>Add: Profit (Loss) during the year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</si>
</sst>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  <font>
      <sz val="7.5"/>
      <name val="Arial"/>
      <family val="2"/>
    </font>
    <font>
      <b/>
      <u val="doubleAccounting"/>
      <sz val="8"/>
      <name val="Arial"/>
      <family val="2"/>
    </font>
    <font>
      <u val="doubleAccounting"/>
      <sz val="8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1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0" fontId="0" fillId="0" borderId="0" xfId="0" applyFont="1" applyAlignment="1">
      <alignment vertical="top" wrapText="1"/>
    </xf>
    <xf numFmtId="182" fontId="0" fillId="0" borderId="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182" fontId="0" fillId="0" borderId="14" xfId="42" applyNumberFormat="1" applyFont="1" applyBorder="1" applyAlignment="1">
      <alignment/>
    </xf>
    <xf numFmtId="182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182" fontId="0" fillId="0" borderId="0" xfId="0" applyNumberFormat="1" applyFont="1" applyAlignment="1">
      <alignment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182" fontId="1" fillId="0" borderId="11" xfId="42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182" fontId="1" fillId="0" borderId="10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17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182" fontId="0" fillId="0" borderId="18" xfId="42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82" fontId="1" fillId="0" borderId="11" xfId="42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171" fontId="0" fillId="0" borderId="23" xfId="42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right"/>
    </xf>
    <xf numFmtId="171" fontId="0" fillId="0" borderId="25" xfId="42" applyFont="1" applyBorder="1" applyAlignment="1">
      <alignment/>
    </xf>
    <xf numFmtId="182" fontId="9" fillId="0" borderId="0" xfId="42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/>
    </xf>
    <xf numFmtId="182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" fillId="0" borderId="21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82" fontId="1" fillId="0" borderId="28" xfId="42" applyNumberFormat="1" applyFont="1" applyBorder="1" applyAlignment="1">
      <alignment horizontal="center"/>
    </xf>
    <xf numFmtId="182" fontId="0" fillId="0" borderId="31" xfId="42" applyNumberFormat="1" applyFont="1" applyBorder="1" applyAlignment="1">
      <alignment/>
    </xf>
    <xf numFmtId="182" fontId="0" fillId="0" borderId="32" xfId="42" applyNumberFormat="1" applyFont="1" applyBorder="1" applyAlignment="1">
      <alignment/>
    </xf>
    <xf numFmtId="182" fontId="1" fillId="0" borderId="29" xfId="42" applyNumberFormat="1" applyFont="1" applyBorder="1" applyAlignment="1">
      <alignment/>
    </xf>
    <xf numFmtId="182" fontId="0" fillId="0" borderId="29" xfId="42" applyNumberFormat="1" applyFont="1" applyBorder="1" applyAlignment="1">
      <alignment/>
    </xf>
    <xf numFmtId="182" fontId="1" fillId="0" borderId="33" xfId="42" applyNumberFormat="1" applyFont="1" applyBorder="1" applyAlignment="1">
      <alignment/>
    </xf>
    <xf numFmtId="182" fontId="0" fillId="0" borderId="29" xfId="42" applyNumberFormat="1" applyFont="1" applyBorder="1" applyAlignment="1">
      <alignment/>
    </xf>
    <xf numFmtId="171" fontId="1" fillId="0" borderId="30" xfId="42" applyFont="1" applyBorder="1" applyAlignment="1">
      <alignment/>
    </xf>
    <xf numFmtId="182" fontId="0" fillId="0" borderId="2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71" fontId="0" fillId="0" borderId="26" xfId="42" applyFont="1" applyBorder="1" applyAlignment="1">
      <alignment/>
    </xf>
    <xf numFmtId="0" fontId="1" fillId="0" borderId="35" xfId="0" applyFont="1" applyBorder="1" applyAlignment="1">
      <alignment horizontal="center"/>
    </xf>
    <xf numFmtId="171" fontId="0" fillId="0" borderId="36" xfId="42" applyFont="1" applyBorder="1" applyAlignment="1">
      <alignment/>
    </xf>
    <xf numFmtId="182" fontId="1" fillId="0" borderId="35" xfId="42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182" fontId="1" fillId="0" borderId="35" xfId="42" applyNumberFormat="1" applyFont="1" applyBorder="1" applyAlignment="1">
      <alignment/>
    </xf>
    <xf numFmtId="0" fontId="1" fillId="0" borderId="36" xfId="0" applyFont="1" applyBorder="1" applyAlignment="1">
      <alignment/>
    </xf>
    <xf numFmtId="182" fontId="0" fillId="0" borderId="37" xfId="42" applyNumberFormat="1" applyFont="1" applyBorder="1" applyAlignment="1">
      <alignment/>
    </xf>
    <xf numFmtId="182" fontId="0" fillId="0" borderId="35" xfId="42" applyNumberFormat="1" applyFont="1" applyBorder="1" applyAlignment="1">
      <alignment/>
    </xf>
    <xf numFmtId="182" fontId="0" fillId="0" borderId="38" xfId="42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71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/>
    </xf>
    <xf numFmtId="182" fontId="1" fillId="0" borderId="17" xfId="42" applyNumberFormat="1" applyFont="1" applyBorder="1" applyAlignment="1">
      <alignment horizontal="right"/>
    </xf>
    <xf numFmtId="17" fontId="1" fillId="0" borderId="29" xfId="0" applyNumberFormat="1" applyFont="1" applyBorder="1" applyAlignment="1">
      <alignment horizontal="center"/>
    </xf>
    <xf numFmtId="182" fontId="1" fillId="0" borderId="29" xfId="42" applyNumberFormat="1" applyFont="1" applyBorder="1" applyAlignment="1">
      <alignment horizontal="right"/>
    </xf>
    <xf numFmtId="182" fontId="0" fillId="0" borderId="31" xfId="0" applyNumberFormat="1" applyFont="1" applyBorder="1" applyAlignment="1">
      <alignment horizontal="right"/>
    </xf>
    <xf numFmtId="182" fontId="0" fillId="0" borderId="29" xfId="42" applyNumberFormat="1" applyFont="1" applyBorder="1" applyAlignment="1">
      <alignment horizontal="right"/>
    </xf>
    <xf numFmtId="182" fontId="1" fillId="0" borderId="41" xfId="42" applyNumberFormat="1" applyFont="1" applyBorder="1" applyAlignment="1">
      <alignment horizontal="right"/>
    </xf>
    <xf numFmtId="182" fontId="0" fillId="0" borderId="31" xfId="42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182" fontId="10" fillId="0" borderId="41" xfId="0" applyNumberFormat="1" applyFont="1" applyBorder="1" applyAlignment="1">
      <alignment horizontal="right"/>
    </xf>
    <xf numFmtId="182" fontId="1" fillId="0" borderId="29" xfId="0" applyNumberFormat="1" applyFont="1" applyBorder="1" applyAlignment="1">
      <alignment/>
    </xf>
    <xf numFmtId="182" fontId="9" fillId="0" borderId="29" xfId="0" applyNumberFormat="1" applyFont="1" applyBorder="1" applyAlignment="1">
      <alignment/>
    </xf>
    <xf numFmtId="171" fontId="1" fillId="0" borderId="30" xfId="42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36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82" fontId="1" fillId="0" borderId="35" xfId="0" applyNumberFormat="1" applyFont="1" applyBorder="1" applyAlignment="1">
      <alignment horizontal="center"/>
    </xf>
    <xf numFmtId="0" fontId="1" fillId="0" borderId="0" xfId="42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1" fillId="0" borderId="12" xfId="42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21" xfId="0" applyFont="1" applyBorder="1" applyAlignment="1">
      <alignment horizontal="left" vertical="center"/>
    </xf>
    <xf numFmtId="0" fontId="13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right"/>
    </xf>
    <xf numFmtId="169" fontId="4" fillId="0" borderId="36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right"/>
    </xf>
    <xf numFmtId="15" fontId="4" fillId="0" borderId="36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right"/>
    </xf>
    <xf numFmtId="169" fontId="8" fillId="0" borderId="36" xfId="0" applyNumberFormat="1" applyFont="1" applyBorder="1" applyAlignment="1">
      <alignment horizontal="right"/>
    </xf>
    <xf numFmtId="182" fontId="8" fillId="0" borderId="0" xfId="0" applyNumberFormat="1" applyFont="1" applyAlignment="1">
      <alignment/>
    </xf>
    <xf numFmtId="188" fontId="8" fillId="0" borderId="0" xfId="0" applyNumberFormat="1" applyFont="1" applyBorder="1" applyAlignment="1" quotePrefix="1">
      <alignment horizontal="center"/>
    </xf>
    <xf numFmtId="182" fontId="8" fillId="0" borderId="0" xfId="42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82" fontId="8" fillId="0" borderId="36" xfId="0" applyNumberFormat="1" applyFont="1" applyBorder="1" applyAlignment="1">
      <alignment horizontal="right"/>
    </xf>
    <xf numFmtId="169" fontId="16" fillId="0" borderId="0" xfId="0" applyNumberFormat="1" applyFont="1" applyBorder="1" applyAlignment="1">
      <alignment horizontal="right"/>
    </xf>
    <xf numFmtId="182" fontId="16" fillId="0" borderId="36" xfId="42" applyNumberFormat="1" applyFont="1" applyBorder="1" applyAlignment="1">
      <alignment horizontal="right"/>
    </xf>
    <xf numFmtId="169" fontId="17" fillId="0" borderId="0" xfId="0" applyNumberFormat="1" applyFont="1" applyBorder="1" applyAlignment="1">
      <alignment horizontal="right"/>
    </xf>
    <xf numFmtId="169" fontId="17" fillId="0" borderId="36" xfId="0" applyNumberFormat="1" applyFont="1" applyBorder="1" applyAlignment="1">
      <alignment horizontal="right"/>
    </xf>
    <xf numFmtId="182" fontId="4" fillId="0" borderId="36" xfId="42" applyNumberFormat="1" applyFont="1" applyBorder="1" applyAlignment="1">
      <alignment horizontal="right"/>
    </xf>
    <xf numFmtId="188" fontId="8" fillId="0" borderId="0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182" fontId="8" fillId="0" borderId="36" xfId="42" applyNumberFormat="1" applyFont="1" applyBorder="1" applyAlignment="1">
      <alignment horizontal="right"/>
    </xf>
    <xf numFmtId="0" fontId="18" fillId="0" borderId="21" xfId="0" applyFont="1" applyBorder="1" applyAlignment="1">
      <alignment vertical="center"/>
    </xf>
    <xf numFmtId="188" fontId="4" fillId="0" borderId="42" xfId="0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182" fontId="4" fillId="0" borderId="42" xfId="42" applyNumberFormat="1" applyFont="1" applyBorder="1" applyAlignment="1">
      <alignment/>
    </xf>
    <xf numFmtId="182" fontId="19" fillId="0" borderId="0" xfId="42" applyNumberFormat="1" applyFont="1" applyBorder="1" applyAlignment="1">
      <alignment/>
    </xf>
    <xf numFmtId="0" fontId="4" fillId="0" borderId="21" xfId="0" applyFont="1" applyBorder="1" applyAlignment="1">
      <alignment vertical="center"/>
    </xf>
    <xf numFmtId="182" fontId="4" fillId="0" borderId="36" xfId="0" applyNumberFormat="1" applyFont="1" applyBorder="1" applyAlignment="1">
      <alignment/>
    </xf>
    <xf numFmtId="169" fontId="19" fillId="0" borderId="0" xfId="0" applyNumberFormat="1" applyFont="1" applyBorder="1" applyAlignment="1">
      <alignment horizontal="right"/>
    </xf>
    <xf numFmtId="182" fontId="19" fillId="0" borderId="36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7" xfId="0" applyFont="1" applyBorder="1" applyAlignment="1">
      <alignment/>
    </xf>
    <xf numFmtId="0" fontId="18" fillId="0" borderId="21" xfId="0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1" fontId="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82" fontId="8" fillId="0" borderId="36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182" fontId="20" fillId="0" borderId="0" xfId="42" applyNumberFormat="1" applyFont="1" applyBorder="1" applyAlignment="1">
      <alignment/>
    </xf>
    <xf numFmtId="182" fontId="20" fillId="0" borderId="36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4" fillId="0" borderId="15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182" fontId="4" fillId="0" borderId="43" xfId="42" applyNumberFormat="1" applyFont="1" applyBorder="1" applyAlignment="1">
      <alignment horizontal="right"/>
    </xf>
    <xf numFmtId="182" fontId="8" fillId="0" borderId="0" xfId="42" applyNumberFormat="1" applyFont="1" applyBorder="1" applyAlignment="1">
      <alignment horizontal="right"/>
    </xf>
    <xf numFmtId="182" fontId="8" fillId="0" borderId="15" xfId="42" applyNumberFormat="1" applyFont="1" applyBorder="1" applyAlignment="1">
      <alignment horizontal="right"/>
    </xf>
    <xf numFmtId="182" fontId="16" fillId="0" borderId="0" xfId="42" applyNumberFormat="1" applyFont="1" applyBorder="1" applyAlignment="1">
      <alignment horizontal="right"/>
    </xf>
    <xf numFmtId="0" fontId="21" fillId="0" borderId="21" xfId="0" applyFont="1" applyBorder="1" applyAlignment="1">
      <alignment/>
    </xf>
    <xf numFmtId="182" fontId="16" fillId="0" borderId="15" xfId="42" applyNumberFormat="1" applyFont="1" applyBorder="1" applyAlignment="1">
      <alignment horizontal="right"/>
    </xf>
    <xf numFmtId="182" fontId="4" fillId="0" borderId="10" xfId="42" applyNumberFormat="1" applyFont="1" applyBorder="1" applyAlignment="1">
      <alignment horizontal="right"/>
    </xf>
    <xf numFmtId="182" fontId="4" fillId="0" borderId="42" xfId="42" applyNumberFormat="1" applyFont="1" applyBorder="1" applyAlignment="1">
      <alignment horizontal="right"/>
    </xf>
    <xf numFmtId="182" fontId="4" fillId="0" borderId="44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36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2" fontId="24" fillId="0" borderId="0" xfId="42" applyNumberFormat="1" applyFont="1" applyBorder="1" applyAlignment="1">
      <alignment/>
    </xf>
    <xf numFmtId="182" fontId="1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1" fillId="0" borderId="10" xfId="42" applyNumberFormat="1" applyFont="1" applyBorder="1" applyAlignment="1">
      <alignment/>
    </xf>
    <xf numFmtId="4" fontId="1" fillId="0" borderId="0" xfId="0" applyNumberFormat="1" applyFont="1" applyAlignment="1" quotePrefix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Alignment="1" quotePrefix="1">
      <alignment horizontal="right"/>
    </xf>
    <xf numFmtId="4" fontId="7" fillId="0" borderId="0" xfId="0" applyNumberFormat="1" applyFont="1" applyAlignment="1">
      <alignment horizontal="right"/>
    </xf>
    <xf numFmtId="4" fontId="1" fillId="0" borderId="0" xfId="0" applyNumberFormat="1" applyFont="1" applyAlignment="1" quotePrefix="1">
      <alignment horizontal="left"/>
    </xf>
    <xf numFmtId="182" fontId="1" fillId="0" borderId="42" xfId="42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3" fontId="4" fillId="0" borderId="36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182" fontId="8" fillId="0" borderId="43" xfId="42" applyNumberFormat="1" applyFont="1" applyBorder="1" applyAlignment="1">
      <alignment horizontal="right"/>
    </xf>
    <xf numFmtId="188" fontId="8" fillId="0" borderId="28" xfId="0" applyNumberFormat="1" applyFont="1" applyBorder="1" applyAlignment="1" quotePrefix="1">
      <alignment horizontal="center"/>
    </xf>
    <xf numFmtId="188" fontId="8" fillId="0" borderId="30" xfId="0" applyNumberFormat="1" applyFont="1" applyBorder="1" applyAlignment="1" quotePrefix="1">
      <alignment horizontal="center"/>
    </xf>
    <xf numFmtId="182" fontId="8" fillId="0" borderId="28" xfId="42" applyNumberFormat="1" applyFont="1" applyBorder="1" applyAlignment="1">
      <alignment/>
    </xf>
    <xf numFmtId="182" fontId="8" fillId="0" borderId="30" xfId="42" applyNumberFormat="1" applyFont="1" applyBorder="1" applyAlignment="1">
      <alignment/>
    </xf>
    <xf numFmtId="188" fontId="8" fillId="0" borderId="29" xfId="0" applyNumberFormat="1" applyFont="1" applyBorder="1" applyAlignment="1" quotePrefix="1">
      <alignment horizontal="center"/>
    </xf>
    <xf numFmtId="182" fontId="8" fillId="0" borderId="29" xfId="42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88" fontId="8" fillId="0" borderId="29" xfId="0" applyNumberFormat="1" applyFont="1" applyBorder="1" applyAlignment="1">
      <alignment horizontal="center"/>
    </xf>
    <xf numFmtId="188" fontId="8" fillId="0" borderId="30" xfId="0" applyNumberFormat="1" applyFont="1" applyBorder="1" applyAlignment="1">
      <alignment horizontal="center"/>
    </xf>
    <xf numFmtId="188" fontId="8" fillId="0" borderId="28" xfId="0" applyNumberFormat="1" applyFont="1" applyBorder="1" applyAlignment="1">
      <alignment horizontal="center"/>
    </xf>
    <xf numFmtId="188" fontId="8" fillId="0" borderId="15" xfId="0" applyNumberFormat="1" applyFont="1" applyBorder="1" applyAlignment="1">
      <alignment horizontal="center"/>
    </xf>
    <xf numFmtId="182" fontId="4" fillId="0" borderId="0" xfId="0" applyNumberFormat="1" applyFont="1" applyAlignment="1">
      <alignment vertical="center"/>
    </xf>
    <xf numFmtId="18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Continuous"/>
    </xf>
    <xf numFmtId="18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82" fontId="0" fillId="0" borderId="13" xfId="42" applyNumberFormat="1" applyFont="1" applyBorder="1" applyAlignment="1">
      <alignment/>
    </xf>
    <xf numFmtId="182" fontId="0" fillId="0" borderId="45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182" fontId="1" fillId="0" borderId="12" xfId="42" applyNumberFormat="1" applyFont="1" applyBorder="1" applyAlignment="1">
      <alignment/>
    </xf>
    <xf numFmtId="182" fontId="0" fillId="0" borderId="14" xfId="42" applyNumberFormat="1" applyFont="1" applyBorder="1" applyAlignment="1">
      <alignment/>
    </xf>
    <xf numFmtId="182" fontId="1" fillId="0" borderId="14" xfId="42" applyNumberFormat="1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42" fillId="0" borderId="46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82" fontId="0" fillId="0" borderId="21" xfId="42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182" fontId="0" fillId="0" borderId="49" xfId="42" applyNumberFormat="1" applyFont="1" applyBorder="1" applyAlignment="1">
      <alignment/>
    </xf>
    <xf numFmtId="182" fontId="1" fillId="0" borderId="50" xfId="42" applyNumberFormat="1" applyFont="1" applyBorder="1" applyAlignment="1">
      <alignment/>
    </xf>
    <xf numFmtId="182" fontId="1" fillId="0" borderId="51" xfId="42" applyNumberFormat="1" applyFont="1" applyBorder="1" applyAlignment="1">
      <alignment/>
    </xf>
    <xf numFmtId="182" fontId="1" fillId="0" borderId="52" xfId="42" applyNumberFormat="1" applyFont="1" applyBorder="1" applyAlignment="1">
      <alignment/>
    </xf>
    <xf numFmtId="182" fontId="1" fillId="0" borderId="53" xfId="42" applyNumberFormat="1" applyFont="1" applyBorder="1" applyAlignment="1">
      <alignment/>
    </xf>
    <xf numFmtId="182" fontId="1" fillId="0" borderId="54" xfId="42" applyNumberFormat="1" applyFont="1" applyBorder="1" applyAlignment="1">
      <alignment/>
    </xf>
    <xf numFmtId="182" fontId="1" fillId="0" borderId="55" xfId="42" applyNumberFormat="1" applyFont="1" applyBorder="1" applyAlignment="1">
      <alignment/>
    </xf>
    <xf numFmtId="0" fontId="1" fillId="0" borderId="56" xfId="0" applyFont="1" applyBorder="1" applyAlignment="1">
      <alignment horizontal="center"/>
    </xf>
    <xf numFmtId="182" fontId="0" fillId="0" borderId="36" xfId="42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82" fontId="1" fillId="0" borderId="60" xfId="42" applyNumberFormat="1" applyFont="1" applyBorder="1" applyAlignment="1">
      <alignment/>
    </xf>
    <xf numFmtId="182" fontId="1" fillId="0" borderId="57" xfId="42" applyNumberFormat="1" applyFont="1" applyBorder="1" applyAlignment="1">
      <alignment/>
    </xf>
    <xf numFmtId="182" fontId="1" fillId="0" borderId="61" xfId="42" applyNumberFormat="1" applyFont="1" applyBorder="1" applyAlignment="1">
      <alignment/>
    </xf>
    <xf numFmtId="0" fontId="1" fillId="0" borderId="39" xfId="0" applyFont="1" applyBorder="1" applyAlignment="1" quotePrefix="1">
      <alignment horizontal="center"/>
    </xf>
    <xf numFmtId="0" fontId="7" fillId="0" borderId="62" xfId="0" applyFont="1" applyBorder="1" applyAlignment="1">
      <alignment horizontal="center"/>
    </xf>
    <xf numFmtId="0" fontId="1" fillId="0" borderId="63" xfId="0" applyFont="1" applyBorder="1" applyAlignment="1" quotePrefix="1">
      <alignment horizontal="center"/>
    </xf>
    <xf numFmtId="0" fontId="1" fillId="0" borderId="39" xfId="0" applyFont="1" applyBorder="1" applyAlignment="1">
      <alignment horizontal="center"/>
    </xf>
    <xf numFmtId="0" fontId="1" fillId="0" borderId="62" xfId="0" applyFont="1" applyBorder="1" applyAlignment="1" quotePrefix="1">
      <alignment horizontal="center"/>
    </xf>
    <xf numFmtId="0" fontId="1" fillId="0" borderId="27" xfId="0" applyFont="1" applyBorder="1" applyAlignment="1" quotePrefix="1">
      <alignment horizontal="center"/>
    </xf>
    <xf numFmtId="0" fontId="1" fillId="0" borderId="62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5.140625" style="176" customWidth="1"/>
    <col min="2" max="2" width="9.28125" style="267" customWidth="1"/>
    <col min="3" max="3" width="0.9921875" style="267" customWidth="1"/>
    <col min="4" max="4" width="8.7109375" style="176" customWidth="1"/>
    <col min="5" max="5" width="0.42578125" style="176" customWidth="1"/>
    <col min="6" max="6" width="8.7109375" style="176" customWidth="1"/>
    <col min="7" max="7" width="1.28515625" style="176" customWidth="1"/>
    <col min="8" max="8" width="7.421875" style="176" customWidth="1"/>
    <col min="9" max="9" width="1.421875" style="176" customWidth="1"/>
    <col min="10" max="10" width="13.57421875" style="176" customWidth="1"/>
    <col min="11" max="11" width="6.8515625" style="176" customWidth="1"/>
    <col min="12" max="12" width="8.140625" style="176" customWidth="1"/>
    <col min="13" max="13" width="7.57421875" style="176" customWidth="1"/>
    <col min="14" max="14" width="7.00390625" style="176" customWidth="1"/>
    <col min="15" max="15" width="8.28125" style="176" customWidth="1"/>
    <col min="16" max="16" width="9.00390625" style="176" customWidth="1"/>
    <col min="17" max="17" width="8.7109375" style="176" customWidth="1"/>
    <col min="18" max="18" width="9.140625" style="176" customWidth="1"/>
    <col min="19" max="19" width="11.7109375" style="176" customWidth="1"/>
    <col min="20" max="20" width="9.140625" style="176" customWidth="1"/>
    <col min="21" max="21" width="13.00390625" style="176" customWidth="1"/>
    <col min="22" max="16384" width="9.140625" style="176" customWidth="1"/>
  </cols>
  <sheetData>
    <row r="1" spans="1:16" ht="15.75" customHeight="1">
      <c r="A1" s="329" t="s">
        <v>44</v>
      </c>
      <c r="B1" s="318"/>
      <c r="C1" s="318"/>
      <c r="D1" s="318"/>
      <c r="E1" s="170"/>
      <c r="F1" s="171"/>
      <c r="G1" s="171"/>
      <c r="H1" s="172"/>
      <c r="I1" s="173"/>
      <c r="J1" s="174"/>
      <c r="K1" s="175"/>
      <c r="L1" s="175"/>
      <c r="M1" s="175"/>
      <c r="N1" s="175"/>
      <c r="O1" s="175"/>
      <c r="P1" s="172"/>
    </row>
    <row r="2" spans="1:16" ht="12.75">
      <c r="A2" s="362" t="s">
        <v>209</v>
      </c>
      <c r="B2" s="363"/>
      <c r="C2" s="363"/>
      <c r="D2" s="363"/>
      <c r="E2" s="363"/>
      <c r="F2" s="165"/>
      <c r="G2" s="166"/>
      <c r="H2" s="167"/>
      <c r="I2" s="168"/>
      <c r="J2" s="364" t="s">
        <v>210</v>
      </c>
      <c r="K2" s="359"/>
      <c r="L2" s="359"/>
      <c r="M2" s="359"/>
      <c r="N2" s="359"/>
      <c r="O2" s="359"/>
      <c r="P2" s="365"/>
    </row>
    <row r="3" spans="1:18" ht="12">
      <c r="A3" s="169" t="s">
        <v>211</v>
      </c>
      <c r="B3" s="177"/>
      <c r="C3" s="177"/>
      <c r="D3" s="177"/>
      <c r="E3" s="177"/>
      <c r="F3" s="178"/>
      <c r="G3" s="166"/>
      <c r="H3" s="167"/>
      <c r="I3" s="179"/>
      <c r="J3" s="326" t="s">
        <v>298</v>
      </c>
      <c r="K3" s="327"/>
      <c r="L3" s="327"/>
      <c r="M3" s="327"/>
      <c r="N3" s="327"/>
      <c r="O3" s="327"/>
      <c r="P3" s="328"/>
      <c r="Q3" s="181"/>
      <c r="R3" s="173"/>
    </row>
    <row r="4" spans="1:18" ht="12.75">
      <c r="A4" s="182" t="s">
        <v>251</v>
      </c>
      <c r="B4" s="168"/>
      <c r="C4" s="168"/>
      <c r="D4" s="168"/>
      <c r="E4" s="168"/>
      <c r="F4" s="22"/>
      <c r="G4" s="173"/>
      <c r="H4" s="167"/>
      <c r="I4" s="179"/>
      <c r="J4" s="366"/>
      <c r="K4" s="327"/>
      <c r="L4" s="327"/>
      <c r="M4" s="327"/>
      <c r="N4" s="327"/>
      <c r="O4" s="327"/>
      <c r="P4" s="328"/>
      <c r="R4" s="176" t="s">
        <v>212</v>
      </c>
    </row>
    <row r="5" spans="1:16" ht="11.25">
      <c r="A5" s="183" t="s">
        <v>55</v>
      </c>
      <c r="B5" s="184">
        <v>42185</v>
      </c>
      <c r="C5" s="184"/>
      <c r="D5" s="184">
        <v>42004</v>
      </c>
      <c r="E5" s="184"/>
      <c r="F5" s="184"/>
      <c r="G5" s="184"/>
      <c r="H5" s="167"/>
      <c r="I5" s="173"/>
      <c r="J5" s="185"/>
      <c r="K5" s="173"/>
      <c r="L5" s="173"/>
      <c r="M5" s="173"/>
      <c r="N5" s="173"/>
      <c r="O5" s="173"/>
      <c r="P5" s="167"/>
    </row>
    <row r="6" spans="1:16" ht="11.25">
      <c r="A6" s="185"/>
      <c r="B6" s="186" t="s">
        <v>213</v>
      </c>
      <c r="C6" s="186"/>
      <c r="D6" s="186" t="s">
        <v>213</v>
      </c>
      <c r="E6" s="186"/>
      <c r="F6" s="186"/>
      <c r="G6" s="186"/>
      <c r="H6" s="167"/>
      <c r="I6" s="173"/>
      <c r="J6" s="183"/>
      <c r="K6" s="173"/>
      <c r="L6" s="173"/>
      <c r="M6" s="173"/>
      <c r="N6" s="173"/>
      <c r="O6" s="187" t="s">
        <v>214</v>
      </c>
      <c r="P6" s="188" t="s">
        <v>214</v>
      </c>
    </row>
    <row r="7" spans="1:16" ht="11.25">
      <c r="A7" s="185"/>
      <c r="B7" s="166"/>
      <c r="C7" s="166"/>
      <c r="D7" s="166"/>
      <c r="E7" s="166"/>
      <c r="F7" s="166"/>
      <c r="G7" s="166"/>
      <c r="H7" s="167"/>
      <c r="I7" s="173"/>
      <c r="J7" s="185"/>
      <c r="K7" s="173"/>
      <c r="L7" s="173"/>
      <c r="M7" s="173"/>
      <c r="N7" s="173"/>
      <c r="O7" s="189">
        <v>42185</v>
      </c>
      <c r="P7" s="190">
        <v>41820</v>
      </c>
    </row>
    <row r="8" spans="1:21" ht="12" thickBot="1">
      <c r="A8" s="183" t="s">
        <v>6</v>
      </c>
      <c r="B8" s="191">
        <f>B9+B10+B11+B12</f>
        <v>116803</v>
      </c>
      <c r="C8" s="191"/>
      <c r="D8" s="192">
        <f>D9+D10+D11+D12</f>
        <v>119875</v>
      </c>
      <c r="E8" s="192"/>
      <c r="F8" s="192"/>
      <c r="G8" s="192"/>
      <c r="H8" s="167"/>
      <c r="I8" s="179"/>
      <c r="J8" s="183" t="s">
        <v>27</v>
      </c>
      <c r="K8" s="173"/>
      <c r="L8" s="173"/>
      <c r="M8" s="173"/>
      <c r="N8" s="173"/>
      <c r="O8" s="193" t="s">
        <v>215</v>
      </c>
      <c r="P8" s="194" t="s">
        <v>215</v>
      </c>
      <c r="U8" s="195"/>
    </row>
    <row r="9" spans="1:19" ht="11.25">
      <c r="A9" s="185" t="s">
        <v>31</v>
      </c>
      <c r="B9" s="294">
        <v>98443</v>
      </c>
      <c r="C9" s="196"/>
      <c r="D9" s="296">
        <v>101515</v>
      </c>
      <c r="E9" s="197"/>
      <c r="F9" s="197"/>
      <c r="G9" s="197"/>
      <c r="H9" s="167"/>
      <c r="I9" s="198"/>
      <c r="J9" s="199" t="s">
        <v>1</v>
      </c>
      <c r="K9" s="173"/>
      <c r="L9" s="173"/>
      <c r="M9" s="173"/>
      <c r="N9" s="173"/>
      <c r="O9" s="193">
        <f>B50+D16-B16</f>
        <v>126051</v>
      </c>
      <c r="P9" s="200">
        <v>179888</v>
      </c>
      <c r="S9" s="195"/>
    </row>
    <row r="10" spans="1:16" ht="14.25" thickBot="1">
      <c r="A10" s="185" t="s">
        <v>45</v>
      </c>
      <c r="B10" s="295">
        <v>18360</v>
      </c>
      <c r="C10" s="196"/>
      <c r="D10" s="297">
        <v>18360</v>
      </c>
      <c r="E10" s="197"/>
      <c r="F10" s="197"/>
      <c r="G10" s="197"/>
      <c r="H10" s="167"/>
      <c r="I10" s="173"/>
      <c r="J10" s="185" t="s">
        <v>2</v>
      </c>
      <c r="K10" s="173"/>
      <c r="L10" s="173"/>
      <c r="M10" s="173"/>
      <c r="N10" s="173"/>
      <c r="O10" s="201">
        <f>-120853-2</f>
        <v>-120855</v>
      </c>
      <c r="P10" s="202">
        <v>-178936</v>
      </c>
    </row>
    <row r="11" spans="1:16" ht="13.5">
      <c r="A11" s="185"/>
      <c r="B11" s="196"/>
      <c r="C11" s="196"/>
      <c r="D11" s="197"/>
      <c r="E11" s="197"/>
      <c r="F11" s="197"/>
      <c r="G11" s="197"/>
      <c r="H11" s="167"/>
      <c r="I11" s="179"/>
      <c r="J11" s="183" t="s">
        <v>35</v>
      </c>
      <c r="K11" s="173"/>
      <c r="L11" s="173"/>
      <c r="M11" s="173"/>
      <c r="N11" s="173"/>
      <c r="O11" s="203">
        <f>SUM(O9:O10)</f>
        <v>5196</v>
      </c>
      <c r="P11" s="204">
        <f>SUM(P9:P10)</f>
        <v>952</v>
      </c>
    </row>
    <row r="12" spans="1:16" ht="11.25">
      <c r="A12" s="185"/>
      <c r="B12" s="196"/>
      <c r="C12" s="196"/>
      <c r="D12" s="197"/>
      <c r="E12" s="197"/>
      <c r="F12" s="197"/>
      <c r="G12" s="197"/>
      <c r="H12" s="167"/>
      <c r="I12" s="179"/>
      <c r="J12" s="183"/>
      <c r="K12" s="173"/>
      <c r="L12" s="173"/>
      <c r="M12" s="173"/>
      <c r="N12" s="173"/>
      <c r="O12" s="193"/>
      <c r="P12" s="205"/>
    </row>
    <row r="13" spans="1:16" ht="11.25">
      <c r="A13" s="185"/>
      <c r="B13" s="206"/>
      <c r="C13" s="206"/>
      <c r="D13" s="207"/>
      <c r="E13" s="207"/>
      <c r="F13" s="207"/>
      <c r="G13" s="207"/>
      <c r="H13" s="167"/>
      <c r="I13" s="179"/>
      <c r="J13" s="183" t="s">
        <v>28</v>
      </c>
      <c r="K13" s="173"/>
      <c r="L13" s="173"/>
      <c r="M13" s="173"/>
      <c r="N13" s="173"/>
      <c r="O13" s="193"/>
      <c r="P13" s="208"/>
    </row>
    <row r="14" spans="1:16" ht="12" thickBot="1">
      <c r="A14" s="183" t="s">
        <v>7</v>
      </c>
      <c r="B14" s="191">
        <f>B15+B16+B17+B18</f>
        <v>235335</v>
      </c>
      <c r="C14" s="191"/>
      <c r="D14" s="207">
        <f>D15+D16+D17+D18</f>
        <v>254307</v>
      </c>
      <c r="E14" s="207"/>
      <c r="F14" s="207"/>
      <c r="G14" s="207"/>
      <c r="H14" s="167"/>
      <c r="I14" s="198"/>
      <c r="J14" s="199" t="s">
        <v>14</v>
      </c>
      <c r="K14" s="173"/>
      <c r="L14" s="173"/>
      <c r="M14" s="173"/>
      <c r="N14" s="173"/>
      <c r="O14" s="193">
        <v>0</v>
      </c>
      <c r="P14" s="208">
        <v>0</v>
      </c>
    </row>
    <row r="15" spans="1:16" ht="11.25">
      <c r="A15" s="199" t="s">
        <v>46</v>
      </c>
      <c r="B15" s="294">
        <v>106919</v>
      </c>
      <c r="C15" s="196"/>
      <c r="D15" s="296">
        <v>115158</v>
      </c>
      <c r="E15" s="197"/>
      <c r="F15" s="197"/>
      <c r="G15" s="197"/>
      <c r="H15" s="167"/>
      <c r="I15" s="179"/>
      <c r="J15" s="183" t="s">
        <v>36</v>
      </c>
      <c r="K15" s="173"/>
      <c r="L15" s="173"/>
      <c r="M15" s="173"/>
      <c r="N15" s="173"/>
      <c r="O15" s="187">
        <v>0</v>
      </c>
      <c r="P15" s="188">
        <v>0</v>
      </c>
    </row>
    <row r="16" spans="1:16" ht="11.25">
      <c r="A16" s="199" t="s">
        <v>47</v>
      </c>
      <c r="B16" s="298">
        <v>100668</v>
      </c>
      <c r="C16" s="196"/>
      <c r="D16" s="299">
        <v>108287</v>
      </c>
      <c r="E16" s="197"/>
      <c r="F16" s="197"/>
      <c r="G16" s="197"/>
      <c r="H16" s="167"/>
      <c r="I16" s="173"/>
      <c r="J16" s="185"/>
      <c r="K16" s="173"/>
      <c r="L16" s="173"/>
      <c r="M16" s="173"/>
      <c r="N16" s="173"/>
      <c r="O16" s="193"/>
      <c r="P16" s="205"/>
    </row>
    <row r="17" spans="1:16" ht="11.25">
      <c r="A17" s="209" t="s">
        <v>216</v>
      </c>
      <c r="B17" s="298">
        <f>26241+2</f>
        <v>26243</v>
      </c>
      <c r="C17" s="196"/>
      <c r="D17" s="299">
        <v>27835</v>
      </c>
      <c r="E17" s="197"/>
      <c r="F17" s="197"/>
      <c r="G17" s="197"/>
      <c r="H17" s="167"/>
      <c r="I17" s="179"/>
      <c r="J17" s="183" t="s">
        <v>29</v>
      </c>
      <c r="K17" s="173"/>
      <c r="L17" s="173"/>
      <c r="M17" s="173"/>
      <c r="N17" s="173"/>
      <c r="O17" s="193"/>
      <c r="P17" s="167"/>
    </row>
    <row r="18" spans="1:16" ht="12" thickBot="1">
      <c r="A18" s="199" t="s">
        <v>123</v>
      </c>
      <c r="B18" s="295">
        <v>1505</v>
      </c>
      <c r="C18" s="196"/>
      <c r="D18" s="297">
        <v>3027</v>
      </c>
      <c r="E18" s="197"/>
      <c r="F18" s="197"/>
      <c r="G18" s="197"/>
      <c r="H18" s="167"/>
      <c r="I18" s="173"/>
      <c r="J18" s="185"/>
      <c r="K18" s="173"/>
      <c r="L18" s="173"/>
      <c r="M18" s="173"/>
      <c r="N18" s="173"/>
      <c r="O18" s="193"/>
      <c r="P18" s="208">
        <v>0</v>
      </c>
    </row>
    <row r="19" spans="1:16" ht="14.25" thickBot="1">
      <c r="A19" s="183" t="s">
        <v>217</v>
      </c>
      <c r="B19" s="210">
        <f>B8+B14</f>
        <v>352138</v>
      </c>
      <c r="C19" s="211"/>
      <c r="D19" s="212">
        <f>D8+D14</f>
        <v>374182</v>
      </c>
      <c r="E19" s="197"/>
      <c r="F19" s="197"/>
      <c r="G19" s="197"/>
      <c r="H19" s="167"/>
      <c r="I19" s="173"/>
      <c r="J19" s="185" t="s">
        <v>218</v>
      </c>
      <c r="K19" s="173"/>
      <c r="L19" s="173"/>
      <c r="M19" s="173"/>
      <c r="N19" s="173"/>
      <c r="O19" s="193">
        <v>-6720</v>
      </c>
      <c r="P19" s="208">
        <v>-6720</v>
      </c>
    </row>
    <row r="20" spans="1:16" ht="14.25" thickTop="1">
      <c r="A20" s="183" t="s">
        <v>219</v>
      </c>
      <c r="B20" s="191"/>
      <c r="C20" s="191"/>
      <c r="D20" s="197"/>
      <c r="E20" s="207"/>
      <c r="F20" s="213"/>
      <c r="G20" s="213"/>
      <c r="H20" s="167"/>
      <c r="I20" s="173"/>
      <c r="J20" s="185"/>
      <c r="K20" s="173"/>
      <c r="L20" s="173"/>
      <c r="M20" s="173"/>
      <c r="N20" s="173"/>
      <c r="O20" s="193"/>
      <c r="P20" s="208">
        <v>0</v>
      </c>
    </row>
    <row r="21" spans="1:16" ht="14.25" thickBot="1">
      <c r="A21" s="214" t="s">
        <v>13</v>
      </c>
      <c r="B21" s="191">
        <f>B22+B23+B24+B25</f>
        <v>-251849</v>
      </c>
      <c r="C21" s="206"/>
      <c r="D21" s="207">
        <f>D22+D23+D24+D25</f>
        <v>-246718</v>
      </c>
      <c r="E21" s="207"/>
      <c r="F21" s="207"/>
      <c r="G21" s="207"/>
      <c r="H21" s="167"/>
      <c r="I21" s="179"/>
      <c r="J21" s="183" t="s">
        <v>37</v>
      </c>
      <c r="K21" s="173"/>
      <c r="L21" s="173"/>
      <c r="M21" s="173"/>
      <c r="N21" s="173"/>
      <c r="O21" s="203">
        <f>SUM(O18:O20)</f>
        <v>-6720</v>
      </c>
      <c r="P21" s="204">
        <v>-6720</v>
      </c>
    </row>
    <row r="22" spans="1:16" ht="11.25">
      <c r="A22" s="199" t="s">
        <v>39</v>
      </c>
      <c r="B22" s="294">
        <v>48500</v>
      </c>
      <c r="C22" s="196"/>
      <c r="D22" s="296">
        <v>48500</v>
      </c>
      <c r="E22" s="197"/>
      <c r="F22" s="197"/>
      <c r="G22" s="197"/>
      <c r="H22" s="167"/>
      <c r="I22" s="179"/>
      <c r="J22" s="183"/>
      <c r="K22" s="173"/>
      <c r="L22" s="173"/>
      <c r="M22" s="173"/>
      <c r="N22" s="173"/>
      <c r="O22" s="187"/>
      <c r="P22" s="205"/>
    </row>
    <row r="23" spans="1:16" ht="13.5">
      <c r="A23" s="199" t="s">
        <v>11</v>
      </c>
      <c r="B23" s="298">
        <v>106700</v>
      </c>
      <c r="C23" s="196"/>
      <c r="D23" s="299">
        <v>106700</v>
      </c>
      <c r="E23" s="197"/>
      <c r="F23" s="197"/>
      <c r="G23" s="197"/>
      <c r="H23" s="167"/>
      <c r="I23" s="179"/>
      <c r="J23" s="183" t="s">
        <v>220</v>
      </c>
      <c r="K23" s="173"/>
      <c r="L23" s="173"/>
      <c r="M23" s="173"/>
      <c r="N23" s="173"/>
      <c r="O23" s="203">
        <f>O11+O15+O21</f>
        <v>-1524</v>
      </c>
      <c r="P23" s="204">
        <f>P11+P15+P21</f>
        <v>-5768</v>
      </c>
    </row>
    <row r="24" spans="1:16" ht="11.25">
      <c r="A24" s="199" t="s">
        <v>53</v>
      </c>
      <c r="B24" s="301">
        <v>65652</v>
      </c>
      <c r="C24" s="206"/>
      <c r="D24" s="299">
        <v>65652</v>
      </c>
      <c r="E24" s="197"/>
      <c r="F24" s="197"/>
      <c r="G24" s="197"/>
      <c r="H24" s="167"/>
      <c r="I24" s="179"/>
      <c r="J24" s="183" t="s">
        <v>186</v>
      </c>
      <c r="K24" s="173"/>
      <c r="L24" s="173"/>
      <c r="M24" s="173"/>
      <c r="N24" s="173"/>
      <c r="O24" s="193">
        <f>D18</f>
        <v>3027</v>
      </c>
      <c r="P24" s="215">
        <v>9220</v>
      </c>
    </row>
    <row r="25" spans="1:21" ht="14.25" thickBot="1">
      <c r="A25" s="199" t="s">
        <v>40</v>
      </c>
      <c r="B25" s="302">
        <f>D25+B58</f>
        <v>-472701</v>
      </c>
      <c r="C25" s="206"/>
      <c r="D25" s="297">
        <v>-467570</v>
      </c>
      <c r="E25" s="197"/>
      <c r="F25" s="197"/>
      <c r="G25" s="197"/>
      <c r="H25" s="167"/>
      <c r="I25" s="179"/>
      <c r="J25" s="183" t="s">
        <v>187</v>
      </c>
      <c r="K25" s="173"/>
      <c r="L25" s="173"/>
      <c r="M25" s="173"/>
      <c r="N25" s="173"/>
      <c r="O25" s="216">
        <f>O23+O24</f>
        <v>1503</v>
      </c>
      <c r="P25" s="217">
        <f>P23+P24</f>
        <v>3452</v>
      </c>
      <c r="S25" s="218"/>
      <c r="U25" s="218"/>
    </row>
    <row r="26" spans="1:16" ht="11.25">
      <c r="A26" s="199"/>
      <c r="B26" s="206"/>
      <c r="C26" s="206"/>
      <c r="D26" s="197"/>
      <c r="E26" s="197"/>
      <c r="F26" s="197"/>
      <c r="G26" s="197"/>
      <c r="H26" s="167"/>
      <c r="I26" s="173"/>
      <c r="J26" s="185" t="s">
        <v>161</v>
      </c>
      <c r="K26" s="173"/>
      <c r="L26" s="173"/>
      <c r="M26" s="173"/>
      <c r="N26" s="173"/>
      <c r="O26" s="300">
        <f>O11/4850</f>
        <v>1.071340206185567</v>
      </c>
      <c r="P26" s="291">
        <f>P11/4850</f>
        <v>0.19628865979381444</v>
      </c>
    </row>
    <row r="27" spans="1:16" ht="12" thickBot="1">
      <c r="A27" s="214" t="s">
        <v>242</v>
      </c>
      <c r="B27" s="191">
        <f>B28+B29</f>
        <v>182304</v>
      </c>
      <c r="C27" s="191"/>
      <c r="D27" s="207">
        <f>D28+D29</f>
        <v>189024</v>
      </c>
      <c r="E27" s="207"/>
      <c r="F27" s="207"/>
      <c r="G27" s="207"/>
      <c r="H27" s="167"/>
      <c r="I27" s="173"/>
      <c r="J27" s="185"/>
      <c r="K27" s="173"/>
      <c r="L27" s="173"/>
      <c r="M27" s="173"/>
      <c r="N27" s="173"/>
      <c r="O27" s="173"/>
      <c r="P27" s="167"/>
    </row>
    <row r="28" spans="1:19" ht="11.25">
      <c r="A28" s="199" t="s">
        <v>243</v>
      </c>
      <c r="B28" s="303">
        <v>152447</v>
      </c>
      <c r="C28" s="206"/>
      <c r="D28" s="296">
        <f>159167</f>
        <v>159167</v>
      </c>
      <c r="E28" s="197"/>
      <c r="F28" s="197"/>
      <c r="G28" s="197"/>
      <c r="H28" s="167"/>
      <c r="I28" s="173"/>
      <c r="J28" s="185"/>
      <c r="K28" s="173"/>
      <c r="L28" s="173"/>
      <c r="M28" s="173"/>
      <c r="N28" s="173"/>
      <c r="O28" s="173"/>
      <c r="P28" s="167"/>
      <c r="S28" s="218"/>
    </row>
    <row r="29" spans="1:16" ht="12" thickBot="1">
      <c r="A29" s="199" t="s">
        <v>244</v>
      </c>
      <c r="B29" s="302">
        <v>29857</v>
      </c>
      <c r="C29" s="304">
        <v>29857</v>
      </c>
      <c r="D29" s="302">
        <v>29857</v>
      </c>
      <c r="E29" s="197"/>
      <c r="F29" s="197"/>
      <c r="G29" s="197"/>
      <c r="H29" s="167"/>
      <c r="I29" s="173"/>
      <c r="J29" s="185"/>
      <c r="K29" s="173"/>
      <c r="L29" s="173"/>
      <c r="M29" s="173"/>
      <c r="N29" s="173"/>
      <c r="O29" s="219"/>
      <c r="P29" s="167"/>
    </row>
    <row r="30" spans="1:16" ht="11.25">
      <c r="A30" s="199"/>
      <c r="B30" s="206"/>
      <c r="C30" s="206"/>
      <c r="D30" s="197"/>
      <c r="E30" s="197"/>
      <c r="F30" s="197"/>
      <c r="G30" s="197"/>
      <c r="H30" s="167"/>
      <c r="I30" s="219"/>
      <c r="J30" s="220"/>
      <c r="K30" s="173"/>
      <c r="L30" s="173"/>
      <c r="M30" s="173"/>
      <c r="N30" s="173"/>
      <c r="O30" s="166"/>
      <c r="P30" s="167"/>
    </row>
    <row r="31" spans="1:16" ht="12" thickBot="1">
      <c r="A31" s="183" t="s">
        <v>8</v>
      </c>
      <c r="B31" s="191">
        <f>B32+B33+B34</f>
        <v>421683</v>
      </c>
      <c r="C31" s="191"/>
      <c r="D31" s="191">
        <f>D32+D33+D34</f>
        <v>431876</v>
      </c>
      <c r="E31" s="191"/>
      <c r="F31" s="191"/>
      <c r="G31" s="191"/>
      <c r="H31" s="167"/>
      <c r="I31" s="221"/>
      <c r="J31" s="222"/>
      <c r="K31" s="173"/>
      <c r="L31" s="173"/>
      <c r="M31" s="173"/>
      <c r="N31" s="173"/>
      <c r="O31" s="223"/>
      <c r="P31" s="167"/>
    </row>
    <row r="32" spans="1:16" ht="11.25">
      <c r="A32" s="185" t="s">
        <v>51</v>
      </c>
      <c r="B32" s="303">
        <v>359535</v>
      </c>
      <c r="C32" s="206"/>
      <c r="D32" s="296">
        <v>359535</v>
      </c>
      <c r="E32" s="197"/>
      <c r="F32" s="197"/>
      <c r="G32" s="197"/>
      <c r="H32" s="167"/>
      <c r="I32" s="173"/>
      <c r="J32" s="185"/>
      <c r="K32" s="173"/>
      <c r="L32" s="173"/>
      <c r="M32" s="173"/>
      <c r="N32" s="224"/>
      <c r="O32" s="223"/>
      <c r="P32" s="167"/>
    </row>
    <row r="33" spans="1:16" ht="12.75">
      <c r="A33" s="185" t="s">
        <v>52</v>
      </c>
      <c r="B33" s="301">
        <f>51117+2785+1091+650</f>
        <v>55643</v>
      </c>
      <c r="C33" s="206"/>
      <c r="D33" s="299">
        <f>61357+3091+1092+651+1</f>
        <v>66192</v>
      </c>
      <c r="E33" s="197"/>
      <c r="F33" s="197"/>
      <c r="G33" s="197"/>
      <c r="H33" s="167"/>
      <c r="I33" s="173"/>
      <c r="J33" s="185"/>
      <c r="K33" s="173"/>
      <c r="L33" s="359" t="s">
        <v>221</v>
      </c>
      <c r="M33" s="359"/>
      <c r="N33" s="359"/>
      <c r="O33" s="173"/>
      <c r="P33" s="167"/>
    </row>
    <row r="34" spans="1:16" ht="12" thickBot="1">
      <c r="A34" s="185" t="s">
        <v>49</v>
      </c>
      <c r="B34" s="302">
        <v>6505</v>
      </c>
      <c r="C34" s="206"/>
      <c r="D34" s="297">
        <v>6149</v>
      </c>
      <c r="E34" s="197"/>
      <c r="F34" s="197"/>
      <c r="G34" s="197"/>
      <c r="H34" s="167"/>
      <c r="J34" s="185"/>
      <c r="K34" s="173"/>
      <c r="L34" s="224"/>
      <c r="M34" s="166" t="s">
        <v>222</v>
      </c>
      <c r="N34" s="224"/>
      <c r="O34" s="173"/>
      <c r="P34" s="167"/>
    </row>
    <row r="35" spans="1:16" ht="5.25" customHeight="1">
      <c r="A35" s="185"/>
      <c r="B35" s="206"/>
      <c r="C35" s="206"/>
      <c r="D35" s="197"/>
      <c r="E35" s="197"/>
      <c r="F35" s="197"/>
      <c r="G35" s="197"/>
      <c r="H35" s="167"/>
      <c r="J35" s="185"/>
      <c r="K35" s="173"/>
      <c r="L35" s="173"/>
      <c r="M35" s="173"/>
      <c r="N35" s="173"/>
      <c r="O35" s="173"/>
      <c r="P35" s="167"/>
    </row>
    <row r="36" spans="1:16" ht="14.25" thickBot="1">
      <c r="A36" s="214" t="s">
        <v>223</v>
      </c>
      <c r="B36" s="210">
        <f>B21+B27+B31</f>
        <v>352138</v>
      </c>
      <c r="C36" s="225"/>
      <c r="D36" s="212">
        <f>D21+D27+D31</f>
        <v>374182</v>
      </c>
      <c r="E36" s="207"/>
      <c r="F36" s="213"/>
      <c r="G36" s="213"/>
      <c r="H36" s="167"/>
      <c r="J36" s="226"/>
      <c r="K36" s="227"/>
      <c r="L36" s="227"/>
      <c r="M36" s="227"/>
      <c r="N36" s="227"/>
      <c r="O36" s="227"/>
      <c r="P36" s="228"/>
    </row>
    <row r="37" spans="1:16" ht="13.5" thickTop="1">
      <c r="A37" s="229" t="s">
        <v>167</v>
      </c>
      <c r="B37" s="292">
        <f>B21/4850</f>
        <v>-51.92762886597938</v>
      </c>
      <c r="C37" s="292">
        <f>C21/4850</f>
        <v>0</v>
      </c>
      <c r="D37" s="292">
        <f>D21/4850</f>
        <v>-50.869690721649484</v>
      </c>
      <c r="E37" s="231"/>
      <c r="F37" s="173"/>
      <c r="G37" s="173"/>
      <c r="H37" s="167"/>
      <c r="J37" s="360" t="s">
        <v>224</v>
      </c>
      <c r="K37" s="361"/>
      <c r="L37" s="361"/>
      <c r="M37" s="361"/>
      <c r="N37" s="361"/>
      <c r="O37" s="361"/>
      <c r="P37" s="325"/>
    </row>
    <row r="38" spans="1:16" ht="12.75" customHeight="1">
      <c r="A38" s="185"/>
      <c r="B38" s="230">
        <f>B19-B36</f>
        <v>0</v>
      </c>
      <c r="C38" s="230"/>
      <c r="D38" s="231"/>
      <c r="E38" s="231"/>
      <c r="F38" s="173"/>
      <c r="G38" s="173"/>
      <c r="H38" s="167"/>
      <c r="J38" s="326" t="s">
        <v>258</v>
      </c>
      <c r="K38" s="327"/>
      <c r="L38" s="327"/>
      <c r="M38" s="327"/>
      <c r="N38" s="327"/>
      <c r="O38" s="327"/>
      <c r="P38" s="328"/>
    </row>
    <row r="39" spans="1:16" ht="10.5" customHeight="1">
      <c r="A39" s="220"/>
      <c r="B39" s="223"/>
      <c r="C39" s="223"/>
      <c r="D39" s="221"/>
      <c r="E39" s="231"/>
      <c r="F39" s="173"/>
      <c r="G39" s="173"/>
      <c r="H39" s="167"/>
      <c r="J39" s="356"/>
      <c r="K39" s="357"/>
      <c r="L39" s="357"/>
      <c r="M39" s="357"/>
      <c r="N39" s="357"/>
      <c r="O39" s="357"/>
      <c r="P39" s="358"/>
    </row>
    <row r="40" spans="1:17" ht="12.75">
      <c r="A40" s="183"/>
      <c r="B40" s="359" t="s">
        <v>221</v>
      </c>
      <c r="C40" s="359"/>
      <c r="D40" s="359"/>
      <c r="E40" s="234"/>
      <c r="F40" s="166"/>
      <c r="G40" s="166"/>
      <c r="H40" s="167"/>
      <c r="J40" s="185"/>
      <c r="K40" s="173"/>
      <c r="L40" s="173"/>
      <c r="M40" s="173"/>
      <c r="N40" s="173"/>
      <c r="O40" s="173"/>
      <c r="P40" s="167"/>
      <c r="Q40" s="181"/>
    </row>
    <row r="41" spans="1:17" ht="11.25">
      <c r="A41" s="185"/>
      <c r="B41" s="224"/>
      <c r="C41" s="166" t="s">
        <v>222</v>
      </c>
      <c r="D41" s="224"/>
      <c r="E41" s="224"/>
      <c r="F41" s="223"/>
      <c r="G41" s="223"/>
      <c r="H41" s="167"/>
      <c r="J41" s="183" t="s">
        <v>17</v>
      </c>
      <c r="K41" s="166" t="s">
        <v>33</v>
      </c>
      <c r="L41" s="166" t="s">
        <v>33</v>
      </c>
      <c r="M41" s="166" t="s">
        <v>225</v>
      </c>
      <c r="N41" s="166" t="s">
        <v>226</v>
      </c>
      <c r="O41" s="166" t="s">
        <v>41</v>
      </c>
      <c r="P41" s="180" t="s">
        <v>25</v>
      </c>
      <c r="Q41" s="173"/>
    </row>
    <row r="42" spans="1:17" ht="12" thickBot="1">
      <c r="A42" s="226"/>
      <c r="B42" s="227"/>
      <c r="C42" s="227"/>
      <c r="D42" s="227"/>
      <c r="E42" s="227"/>
      <c r="F42" s="235"/>
      <c r="G42" s="166"/>
      <c r="H42" s="167"/>
      <c r="I42" s="173"/>
      <c r="J42" s="183"/>
      <c r="K42" s="232" t="s">
        <v>34</v>
      </c>
      <c r="L42" s="232" t="s">
        <v>0</v>
      </c>
      <c r="M42" s="232" t="s">
        <v>227</v>
      </c>
      <c r="N42" s="232" t="s">
        <v>227</v>
      </c>
      <c r="O42" s="232" t="s">
        <v>228</v>
      </c>
      <c r="P42" s="233" t="s">
        <v>213</v>
      </c>
      <c r="Q42" s="173"/>
    </row>
    <row r="43" spans="1:17" ht="12.75">
      <c r="A43" s="360" t="s">
        <v>229</v>
      </c>
      <c r="B43" s="361"/>
      <c r="C43" s="361"/>
      <c r="D43" s="361"/>
      <c r="E43" s="361"/>
      <c r="F43" s="361"/>
      <c r="G43" s="361"/>
      <c r="H43" s="325"/>
      <c r="I43" s="173"/>
      <c r="J43" s="185"/>
      <c r="K43" s="223"/>
      <c r="L43" s="223"/>
      <c r="M43" s="223"/>
      <c r="N43" s="223"/>
      <c r="O43" s="223"/>
      <c r="P43" s="236"/>
      <c r="Q43" s="173"/>
    </row>
    <row r="44" spans="1:17" ht="12.75">
      <c r="A44" s="326" t="s">
        <v>257</v>
      </c>
      <c r="B44" s="327"/>
      <c r="C44" s="327"/>
      <c r="D44" s="327"/>
      <c r="E44" s="327"/>
      <c r="F44" s="327"/>
      <c r="G44" s="327"/>
      <c r="H44" s="328"/>
      <c r="I44" s="22"/>
      <c r="J44" s="185" t="s">
        <v>230</v>
      </c>
      <c r="K44" s="197">
        <v>48500</v>
      </c>
      <c r="L44" s="197">
        <v>106700</v>
      </c>
      <c r="M44" s="197">
        <v>23872</v>
      </c>
      <c r="N44" s="197">
        <v>44904</v>
      </c>
      <c r="O44" s="197">
        <v>-466432</v>
      </c>
      <c r="P44" s="237">
        <f>O44+N44+M44+L44+K44</f>
        <v>-242456</v>
      </c>
      <c r="Q44" s="173"/>
    </row>
    <row r="45" spans="1:17" ht="11.25">
      <c r="A45" s="356"/>
      <c r="B45" s="357"/>
      <c r="C45" s="357"/>
      <c r="D45" s="357"/>
      <c r="E45" s="357"/>
      <c r="F45" s="357"/>
      <c r="G45" s="357"/>
      <c r="H45" s="358"/>
      <c r="I45" s="166"/>
      <c r="J45" s="185" t="s">
        <v>238</v>
      </c>
      <c r="K45" s="197"/>
      <c r="L45" s="197"/>
      <c r="M45" s="197"/>
      <c r="N45" s="197"/>
      <c r="O45" s="197"/>
      <c r="P45" s="237"/>
      <c r="Q45" s="173"/>
    </row>
    <row r="46" spans="1:17" ht="11.25">
      <c r="A46" s="183" t="s">
        <v>17</v>
      </c>
      <c r="B46" s="187" t="s">
        <v>231</v>
      </c>
      <c r="C46" s="187"/>
      <c r="D46" s="187" t="s">
        <v>231</v>
      </c>
      <c r="E46" s="187"/>
      <c r="F46" s="187" t="s">
        <v>232</v>
      </c>
      <c r="G46" s="187"/>
      <c r="H46" s="188" t="s">
        <v>232</v>
      </c>
      <c r="I46" s="173"/>
      <c r="J46" s="185" t="s">
        <v>233</v>
      </c>
      <c r="K46" s="197">
        <v>0</v>
      </c>
      <c r="L46" s="197">
        <v>0</v>
      </c>
      <c r="M46" s="197"/>
      <c r="N46" s="197">
        <v>0</v>
      </c>
      <c r="O46" s="197">
        <f>D58</f>
        <v>1018</v>
      </c>
      <c r="P46" s="237">
        <f>D58</f>
        <v>1018</v>
      </c>
      <c r="Q46" s="173"/>
    </row>
    <row r="47" spans="1:17" ht="11.25">
      <c r="A47" s="183"/>
      <c r="B47" s="189" t="s">
        <v>252</v>
      </c>
      <c r="C47" s="189"/>
      <c r="D47" s="189" t="s">
        <v>234</v>
      </c>
      <c r="E47" s="189"/>
      <c r="F47" s="189" t="s">
        <v>252</v>
      </c>
      <c r="G47" s="189"/>
      <c r="H47" s="190" t="s">
        <v>234</v>
      </c>
      <c r="I47" s="187"/>
      <c r="J47" s="185" t="s">
        <v>235</v>
      </c>
      <c r="K47" s="173"/>
      <c r="L47" s="173"/>
      <c r="M47" s="173"/>
      <c r="N47" s="173"/>
      <c r="O47" s="173"/>
      <c r="P47" s="167"/>
      <c r="Q47" s="173"/>
    </row>
    <row r="48" spans="1:17" ht="11.25">
      <c r="A48" s="185"/>
      <c r="B48" s="238" t="s">
        <v>213</v>
      </c>
      <c r="C48" s="186"/>
      <c r="D48" s="238" t="s">
        <v>213</v>
      </c>
      <c r="E48" s="239"/>
      <c r="F48" s="238" t="s">
        <v>213</v>
      </c>
      <c r="G48" s="239"/>
      <c r="H48" s="240" t="s">
        <v>213</v>
      </c>
      <c r="I48" s="189"/>
      <c r="J48" s="185" t="s">
        <v>239</v>
      </c>
      <c r="K48" s="197"/>
      <c r="L48" s="197"/>
      <c r="M48" s="197"/>
      <c r="N48" s="197"/>
      <c r="O48" s="197"/>
      <c r="P48" s="237"/>
      <c r="Q48" s="173"/>
    </row>
    <row r="49" spans="1:17" ht="13.5">
      <c r="A49" s="185"/>
      <c r="B49" s="239"/>
      <c r="C49" s="186"/>
      <c r="D49" s="186"/>
      <c r="E49" s="186"/>
      <c r="F49" s="186"/>
      <c r="G49" s="186"/>
      <c r="H49" s="241"/>
      <c r="I49" s="239"/>
      <c r="J49" s="185" t="s">
        <v>236</v>
      </c>
      <c r="K49" s="242">
        <v>48500</v>
      </c>
      <c r="L49" s="242">
        <v>106700</v>
      </c>
      <c r="M49" s="242">
        <v>23872</v>
      </c>
      <c r="N49" s="242">
        <f>N44</f>
        <v>44904</v>
      </c>
      <c r="O49" s="242">
        <f>O44+O46</f>
        <v>-465414</v>
      </c>
      <c r="P49" s="243">
        <f>P44+P46</f>
        <v>-241438</v>
      </c>
      <c r="Q49" s="173"/>
    </row>
    <row r="50" spans="1:17" ht="11.25">
      <c r="A50" s="183" t="s">
        <v>18</v>
      </c>
      <c r="B50" s="244">
        <v>118432</v>
      </c>
      <c r="C50" s="244"/>
      <c r="D50" s="244">
        <v>190445</v>
      </c>
      <c r="E50" s="244"/>
      <c r="F50" s="244">
        <f>B50-68087</f>
        <v>50345</v>
      </c>
      <c r="G50" s="244"/>
      <c r="H50" s="205">
        <v>90323</v>
      </c>
      <c r="I50" s="239"/>
      <c r="J50" s="185" t="s">
        <v>299</v>
      </c>
      <c r="K50" s="173"/>
      <c r="L50" s="173"/>
      <c r="M50" s="173"/>
      <c r="N50" s="173"/>
      <c r="O50" s="173"/>
      <c r="P50" s="167"/>
      <c r="Q50" s="173"/>
    </row>
    <row r="51" spans="1:17" ht="13.5">
      <c r="A51" s="183" t="s">
        <v>24</v>
      </c>
      <c r="B51" s="245">
        <v>115153</v>
      </c>
      <c r="C51" s="244"/>
      <c r="D51" s="246">
        <v>178362</v>
      </c>
      <c r="E51" s="246"/>
      <c r="F51" s="246">
        <f>B51-66991</f>
        <v>48162</v>
      </c>
      <c r="G51" s="246"/>
      <c r="H51" s="247">
        <v>84919</v>
      </c>
      <c r="I51" s="244"/>
      <c r="J51" s="183" t="s">
        <v>17</v>
      </c>
      <c r="K51" s="166" t="s">
        <v>33</v>
      </c>
      <c r="L51" s="166" t="s">
        <v>33</v>
      </c>
      <c r="M51" s="166" t="s">
        <v>225</v>
      </c>
      <c r="N51" s="166" t="s">
        <v>226</v>
      </c>
      <c r="O51" s="166" t="s">
        <v>41</v>
      </c>
      <c r="P51" s="180" t="s">
        <v>25</v>
      </c>
      <c r="Q51" s="173"/>
    </row>
    <row r="52" spans="1:17" ht="11.25">
      <c r="A52" s="183" t="s">
        <v>22</v>
      </c>
      <c r="B52" s="244">
        <f>B50-B51</f>
        <v>3279</v>
      </c>
      <c r="C52" s="244"/>
      <c r="D52" s="244">
        <f>D50-D51</f>
        <v>12083</v>
      </c>
      <c r="E52" s="244"/>
      <c r="F52" s="244">
        <f>F50-F51</f>
        <v>2183</v>
      </c>
      <c r="G52" s="244"/>
      <c r="H52" s="205">
        <f>H50-H51</f>
        <v>5404</v>
      </c>
      <c r="I52" s="248"/>
      <c r="J52" s="183"/>
      <c r="K52" s="232" t="s">
        <v>34</v>
      </c>
      <c r="L52" s="232" t="s">
        <v>0</v>
      </c>
      <c r="M52" s="232" t="s">
        <v>227</v>
      </c>
      <c r="N52" s="232" t="s">
        <v>227</v>
      </c>
      <c r="O52" s="232" t="s">
        <v>228</v>
      </c>
      <c r="P52" s="233" t="s">
        <v>21</v>
      </c>
      <c r="Q52" s="173"/>
    </row>
    <row r="53" spans="1:17" ht="13.5">
      <c r="A53" s="183" t="s">
        <v>23</v>
      </c>
      <c r="B53" s="249">
        <v>8055</v>
      </c>
      <c r="C53" s="248"/>
      <c r="D53" s="250">
        <v>10009</v>
      </c>
      <c r="E53" s="250"/>
      <c r="F53" s="250">
        <f>B53-4078</f>
        <v>3977</v>
      </c>
      <c r="G53" s="250"/>
      <c r="H53" s="293">
        <v>4705</v>
      </c>
      <c r="I53" s="244"/>
      <c r="J53" s="183"/>
      <c r="K53" s="232"/>
      <c r="L53" s="232"/>
      <c r="M53" s="232"/>
      <c r="N53" s="232"/>
      <c r="O53" s="232"/>
      <c r="P53" s="233"/>
      <c r="Q53" s="173"/>
    </row>
    <row r="54" spans="1:17" ht="11.25">
      <c r="A54" s="183" t="s">
        <v>288</v>
      </c>
      <c r="B54" s="244">
        <f>B52-B53</f>
        <v>-4776</v>
      </c>
      <c r="C54" s="244"/>
      <c r="D54" s="244">
        <f>D52-D53</f>
        <v>2074</v>
      </c>
      <c r="E54" s="244"/>
      <c r="F54" s="244">
        <f>F52-F53</f>
        <v>-1794</v>
      </c>
      <c r="G54" s="244"/>
      <c r="H54" s="205">
        <f>H52-H53</f>
        <v>699</v>
      </c>
      <c r="I54" s="244"/>
      <c r="J54" s="185" t="s">
        <v>230</v>
      </c>
      <c r="K54" s="197">
        <v>48500</v>
      </c>
      <c r="L54" s="197">
        <v>106700</v>
      </c>
      <c r="M54" s="197">
        <v>23872</v>
      </c>
      <c r="N54" s="197">
        <v>41780</v>
      </c>
      <c r="O54" s="197">
        <v>-467570</v>
      </c>
      <c r="P54" s="237">
        <f>O54+N54+M54+L54+K54</f>
        <v>-246718</v>
      </c>
      <c r="Q54" s="173"/>
    </row>
    <row r="55" spans="1:17" ht="13.5">
      <c r="A55" s="251" t="s">
        <v>237</v>
      </c>
      <c r="B55" s="245">
        <v>0</v>
      </c>
      <c r="C55" s="244"/>
      <c r="D55" s="246">
        <v>104</v>
      </c>
      <c r="E55" s="246"/>
      <c r="F55" s="246">
        <v>0</v>
      </c>
      <c r="G55" s="246"/>
      <c r="H55" s="247">
        <v>35</v>
      </c>
      <c r="I55" s="244"/>
      <c r="J55" s="185" t="s">
        <v>259</v>
      </c>
      <c r="K55" s="173"/>
      <c r="L55" s="173"/>
      <c r="M55" s="173"/>
      <c r="N55" s="173"/>
      <c r="O55" s="173"/>
      <c r="P55" s="167"/>
      <c r="Q55" s="173"/>
    </row>
    <row r="56" spans="1:17" ht="11.25">
      <c r="A56" s="183" t="s">
        <v>297</v>
      </c>
      <c r="B56" s="244">
        <f>B54-B55</f>
        <v>-4776</v>
      </c>
      <c r="C56" s="244">
        <v>0</v>
      </c>
      <c r="D56" s="244">
        <f>D54-D55</f>
        <v>1970</v>
      </c>
      <c r="E56" s="244"/>
      <c r="F56" s="244">
        <f>F54-F55</f>
        <v>-1794</v>
      </c>
      <c r="G56" s="244"/>
      <c r="H56" s="205">
        <f>H54-H55</f>
        <v>664</v>
      </c>
      <c r="I56" s="244"/>
      <c r="J56" s="185" t="s">
        <v>296</v>
      </c>
      <c r="K56" s="197">
        <v>0</v>
      </c>
      <c r="L56" s="197">
        <v>0</v>
      </c>
      <c r="M56" s="197"/>
      <c r="N56" s="197">
        <v>0</v>
      </c>
      <c r="O56" s="197">
        <f>B58</f>
        <v>-5131</v>
      </c>
      <c r="P56" s="237">
        <f>O56</f>
        <v>-5131</v>
      </c>
      <c r="Q56" s="173"/>
    </row>
    <row r="57" spans="1:17" ht="13.5">
      <c r="A57" s="183" t="s">
        <v>290</v>
      </c>
      <c r="B57" s="252">
        <v>355</v>
      </c>
      <c r="C57" s="248"/>
      <c r="D57" s="250">
        <v>952</v>
      </c>
      <c r="E57" s="250"/>
      <c r="F57" s="250">
        <f>B57-204</f>
        <v>151</v>
      </c>
      <c r="G57" s="250"/>
      <c r="H57" s="293">
        <v>451</v>
      </c>
      <c r="I57" s="244"/>
      <c r="J57" s="185" t="s">
        <v>235</v>
      </c>
      <c r="K57" s="173"/>
      <c r="L57" s="173"/>
      <c r="M57" s="173"/>
      <c r="N57" s="173"/>
      <c r="O57" s="173"/>
      <c r="P57" s="167"/>
      <c r="Q57" s="173"/>
    </row>
    <row r="58" spans="1:17" ht="12" thickBot="1">
      <c r="A58" s="183" t="s">
        <v>289</v>
      </c>
      <c r="B58" s="253">
        <f>B56-B57</f>
        <v>-5131</v>
      </c>
      <c r="C58" s="244">
        <v>0</v>
      </c>
      <c r="D58" s="253">
        <f>D56-D57</f>
        <v>1018</v>
      </c>
      <c r="E58" s="244"/>
      <c r="F58" s="254">
        <f>F56-F57</f>
        <v>-1945</v>
      </c>
      <c r="G58" s="244"/>
      <c r="H58" s="255">
        <f>H56-H57</f>
        <v>213</v>
      </c>
      <c r="I58" s="244"/>
      <c r="J58" s="185" t="s">
        <v>260</v>
      </c>
      <c r="K58" s="197"/>
      <c r="L58" s="197"/>
      <c r="M58" s="197"/>
      <c r="N58" s="197"/>
      <c r="O58" s="197"/>
      <c r="P58" s="237"/>
      <c r="Q58" s="173"/>
    </row>
    <row r="59" spans="1:17" ht="14.25" thickTop="1">
      <c r="A59" s="183"/>
      <c r="B59" s="256" t="s">
        <v>21</v>
      </c>
      <c r="C59" s="256"/>
      <c r="D59" s="256" t="s">
        <v>21</v>
      </c>
      <c r="E59" s="256" t="s">
        <v>21</v>
      </c>
      <c r="F59" s="256" t="s">
        <v>21</v>
      </c>
      <c r="G59" s="256"/>
      <c r="H59" s="257" t="s">
        <v>21</v>
      </c>
      <c r="I59" s="244"/>
      <c r="J59" s="185" t="s">
        <v>230</v>
      </c>
      <c r="K59" s="242">
        <f aca="true" t="shared" si="0" ref="K59:P59">SUM(K54:K58)</f>
        <v>48500</v>
      </c>
      <c r="L59" s="242">
        <f t="shared" si="0"/>
        <v>106700</v>
      </c>
      <c r="M59" s="242">
        <f t="shared" si="0"/>
        <v>23872</v>
      </c>
      <c r="N59" s="242">
        <f t="shared" si="0"/>
        <v>41780</v>
      </c>
      <c r="O59" s="242">
        <f t="shared" si="0"/>
        <v>-472701</v>
      </c>
      <c r="P59" s="243">
        <f t="shared" si="0"/>
        <v>-251849</v>
      </c>
      <c r="Q59" s="173"/>
    </row>
    <row r="60" spans="1:17" ht="11.25">
      <c r="A60" s="183" t="s">
        <v>240</v>
      </c>
      <c r="B60" s="259">
        <f>B58/4850</f>
        <v>-1.057938144329897</v>
      </c>
      <c r="C60" s="259">
        <f>C58/4850</f>
        <v>0</v>
      </c>
      <c r="D60" s="259">
        <f>D58/4850</f>
        <v>0.20989690721649484</v>
      </c>
      <c r="E60" s="258"/>
      <c r="F60" s="259">
        <f>F58/4850</f>
        <v>-0.40103092783505156</v>
      </c>
      <c r="G60" s="259"/>
      <c r="H60" s="260">
        <f>H58/4850</f>
        <v>0.043917525773195874</v>
      </c>
      <c r="I60" s="256"/>
      <c r="J60" s="185" t="s">
        <v>261</v>
      </c>
      <c r="K60" s="173"/>
      <c r="L60" s="173"/>
      <c r="M60" s="173"/>
      <c r="N60" s="173"/>
      <c r="O60" s="173"/>
      <c r="P60" s="167"/>
      <c r="Q60" s="173"/>
    </row>
    <row r="61" spans="1:17" ht="7.5" customHeight="1">
      <c r="A61" s="185"/>
      <c r="B61" s="173"/>
      <c r="C61" s="173"/>
      <c r="D61" s="173"/>
      <c r="E61" s="173"/>
      <c r="F61" s="173"/>
      <c r="G61" s="173"/>
      <c r="H61" s="167"/>
      <c r="I61" s="256"/>
      <c r="J61" s="185"/>
      <c r="K61" s="173"/>
      <c r="L61" s="173"/>
      <c r="M61" s="173"/>
      <c r="N61" s="173"/>
      <c r="O61" s="173"/>
      <c r="P61" s="167"/>
      <c r="Q61" s="173"/>
    </row>
    <row r="62" spans="1:17" ht="11.25">
      <c r="A62" s="185" t="s">
        <v>302</v>
      </c>
      <c r="B62" s="173"/>
      <c r="C62" s="173"/>
      <c r="D62" s="173"/>
      <c r="E62" s="173"/>
      <c r="F62" s="173"/>
      <c r="G62" s="173"/>
      <c r="H62" s="167"/>
      <c r="I62" s="256"/>
      <c r="J62" s="185"/>
      <c r="K62" s="173"/>
      <c r="L62" s="173"/>
      <c r="M62" s="173"/>
      <c r="N62" s="173"/>
      <c r="O62" s="173"/>
      <c r="P62" s="167"/>
      <c r="Q62" s="173"/>
    </row>
    <row r="63" spans="1:17" ht="11.25">
      <c r="A63" s="185" t="s">
        <v>300</v>
      </c>
      <c r="B63" s="173"/>
      <c r="C63" s="173"/>
      <c r="D63" s="173"/>
      <c r="E63" s="173"/>
      <c r="F63" s="173"/>
      <c r="G63" s="173"/>
      <c r="H63" s="167"/>
      <c r="I63" s="256"/>
      <c r="J63" s="185"/>
      <c r="K63" s="173"/>
      <c r="L63" s="173"/>
      <c r="M63" s="173"/>
      <c r="N63" s="173"/>
      <c r="O63" s="173"/>
      <c r="P63" s="167"/>
      <c r="Q63" s="173"/>
    </row>
    <row r="64" spans="1:17" ht="11.25">
      <c r="A64" s="185" t="s">
        <v>301</v>
      </c>
      <c r="B64" s="173"/>
      <c r="C64" s="173"/>
      <c r="D64" s="173"/>
      <c r="E64" s="173"/>
      <c r="F64" s="173"/>
      <c r="G64" s="173"/>
      <c r="H64" s="167"/>
      <c r="I64" s="256"/>
      <c r="J64" s="185"/>
      <c r="K64" s="173"/>
      <c r="L64" s="173"/>
      <c r="M64" s="173"/>
      <c r="N64" s="173"/>
      <c r="O64" s="173"/>
      <c r="P64" s="167"/>
      <c r="Q64" s="173"/>
    </row>
    <row r="65" spans="1:17" ht="11.25">
      <c r="A65" s="185"/>
      <c r="B65" s="173"/>
      <c r="C65" s="173"/>
      <c r="D65" s="173"/>
      <c r="E65" s="173"/>
      <c r="F65" s="173"/>
      <c r="G65" s="173"/>
      <c r="H65" s="167"/>
      <c r="I65" s="256"/>
      <c r="J65" s="185"/>
      <c r="K65" s="173"/>
      <c r="L65" s="173"/>
      <c r="M65" s="173"/>
      <c r="N65" s="173"/>
      <c r="O65" s="173"/>
      <c r="P65" s="167"/>
      <c r="Q65" s="173"/>
    </row>
    <row r="66" spans="1:17" ht="10.5" customHeight="1">
      <c r="A66" s="220"/>
      <c r="B66" s="261"/>
      <c r="C66" s="261"/>
      <c r="D66" s="261"/>
      <c r="E66" s="261"/>
      <c r="F66" s="219"/>
      <c r="G66" s="261"/>
      <c r="H66" s="262"/>
      <c r="I66" s="261"/>
      <c r="J66" s="185"/>
      <c r="K66" s="219"/>
      <c r="L66" s="173"/>
      <c r="M66" s="173"/>
      <c r="N66" s="173"/>
      <c r="O66" s="219"/>
      <c r="P66" s="167"/>
      <c r="Q66" s="173"/>
    </row>
    <row r="67" spans="1:17" ht="12.75">
      <c r="A67" s="183"/>
      <c r="B67" s="359" t="s">
        <v>221</v>
      </c>
      <c r="C67" s="359"/>
      <c r="D67" s="359"/>
      <c r="E67" s="234"/>
      <c r="F67" s="166"/>
      <c r="G67" s="166"/>
      <c r="H67" s="167"/>
      <c r="I67" s="263"/>
      <c r="J67" s="185"/>
      <c r="K67" s="166"/>
      <c r="L67" s="359" t="s">
        <v>221</v>
      </c>
      <c r="M67" s="359"/>
      <c r="N67" s="359"/>
      <c r="O67" s="166"/>
      <c r="P67" s="167"/>
      <c r="Q67" s="173"/>
    </row>
    <row r="68" spans="1:17" ht="12" thickBot="1">
      <c r="A68" s="226"/>
      <c r="B68" s="264"/>
      <c r="C68" s="235" t="s">
        <v>222</v>
      </c>
      <c r="D68" s="264"/>
      <c r="E68" s="264"/>
      <c r="F68" s="265"/>
      <c r="G68" s="265"/>
      <c r="H68" s="228"/>
      <c r="I68" s="266"/>
      <c r="J68" s="226"/>
      <c r="K68" s="265"/>
      <c r="L68" s="264"/>
      <c r="M68" s="235" t="s">
        <v>222</v>
      </c>
      <c r="N68" s="264"/>
      <c r="O68" s="265"/>
      <c r="P68" s="228"/>
      <c r="Q68" s="173"/>
    </row>
    <row r="69" spans="10:17" ht="11.25">
      <c r="J69" s="173"/>
      <c r="K69" s="173"/>
      <c r="L69" s="173"/>
      <c r="M69" s="173"/>
      <c r="N69" s="173"/>
      <c r="O69" s="173"/>
      <c r="P69" s="173"/>
      <c r="Q69" s="173"/>
    </row>
    <row r="70" spans="10:17" ht="11.25">
      <c r="J70" s="173"/>
      <c r="K70" s="173"/>
      <c r="L70" s="173"/>
      <c r="M70" s="173"/>
      <c r="N70" s="173"/>
      <c r="O70" s="173"/>
      <c r="P70" s="173"/>
      <c r="Q70" s="173"/>
    </row>
    <row r="71" spans="10:17" ht="11.25">
      <c r="J71" s="173"/>
      <c r="K71" s="173"/>
      <c r="L71" s="173"/>
      <c r="M71" s="173"/>
      <c r="N71" s="173"/>
      <c r="O71" s="173"/>
      <c r="P71" s="173"/>
      <c r="Q71" s="173"/>
    </row>
    <row r="72" spans="10:17" ht="11.25">
      <c r="J72" s="173"/>
      <c r="K72" s="173"/>
      <c r="L72" s="173"/>
      <c r="M72" s="173"/>
      <c r="N72" s="173"/>
      <c r="O72" s="173"/>
      <c r="P72" s="173"/>
      <c r="Q72" s="173"/>
    </row>
  </sheetData>
  <sheetProtection/>
  <mergeCells count="15">
    <mergeCell ref="J4:P4"/>
    <mergeCell ref="L33:N33"/>
    <mergeCell ref="J37:P37"/>
    <mergeCell ref="J38:P38"/>
    <mergeCell ref="A1:D1"/>
    <mergeCell ref="A2:E2"/>
    <mergeCell ref="J2:P2"/>
    <mergeCell ref="J3:P3"/>
    <mergeCell ref="A45:H45"/>
    <mergeCell ref="B67:D67"/>
    <mergeCell ref="L67:N67"/>
    <mergeCell ref="J39:P39"/>
    <mergeCell ref="B40:D40"/>
    <mergeCell ref="A43:H43"/>
    <mergeCell ref="A44:H44"/>
  </mergeCells>
  <printOptions/>
  <pageMargins left="0.42" right="0.19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A1">
      <selection activeCell="J49" sqref="J49"/>
    </sheetView>
  </sheetViews>
  <sheetFormatPr defaultColWidth="9.140625" defaultRowHeight="12.75"/>
  <cols>
    <col min="2" max="2" width="36.00390625" style="0" customWidth="1"/>
    <col min="3" max="3" width="4.140625" style="0" customWidth="1"/>
    <col min="4" max="4" width="4.57421875" style="0" customWidth="1"/>
    <col min="5" max="5" width="8.7109375" style="3" hidden="1" customWidth="1"/>
    <col min="6" max="6" width="15.57421875" style="0" customWidth="1"/>
    <col min="7" max="7" width="1.7109375" style="2" customWidth="1"/>
    <col min="8" max="8" width="15.140625" style="0" customWidth="1"/>
    <col min="10" max="10" width="14.421875" style="0" customWidth="1"/>
  </cols>
  <sheetData>
    <row r="1" ht="13.5" thickBot="1"/>
    <row r="2" spans="2:8" ht="15.75" customHeight="1">
      <c r="B2" s="367" t="s">
        <v>44</v>
      </c>
      <c r="C2" s="368"/>
      <c r="D2" s="368"/>
      <c r="E2" s="368"/>
      <c r="F2" s="368"/>
      <c r="G2" s="368"/>
      <c r="H2" s="369"/>
    </row>
    <row r="3" spans="2:8" ht="15.75">
      <c r="B3" s="370" t="s">
        <v>30</v>
      </c>
      <c r="C3" s="371"/>
      <c r="D3" s="371"/>
      <c r="E3" s="371"/>
      <c r="F3" s="371"/>
      <c r="G3" s="371"/>
      <c r="H3" s="372"/>
    </row>
    <row r="4" spans="2:8" ht="16.5" thickBot="1">
      <c r="B4" s="373" t="s">
        <v>241</v>
      </c>
      <c r="C4" s="374"/>
      <c r="D4" s="374"/>
      <c r="E4" s="374"/>
      <c r="F4" s="374"/>
      <c r="G4" s="374"/>
      <c r="H4" s="375"/>
    </row>
    <row r="5" spans="2:8" ht="12.75">
      <c r="B5" s="82" t="s">
        <v>55</v>
      </c>
      <c r="C5" s="83"/>
      <c r="D5" s="103"/>
      <c r="E5" s="84" t="s">
        <v>16</v>
      </c>
      <c r="F5" s="103" t="s">
        <v>194</v>
      </c>
      <c r="G5" s="93"/>
      <c r="H5" s="103" t="s">
        <v>168</v>
      </c>
    </row>
    <row r="6" spans="2:8" ht="12.75">
      <c r="B6" s="74"/>
      <c r="C6" s="18"/>
      <c r="D6" s="104" t="s">
        <v>162</v>
      </c>
      <c r="E6" s="22"/>
      <c r="F6" s="104">
        <v>2015</v>
      </c>
      <c r="G6" s="44"/>
      <c r="H6" s="104">
        <v>2014</v>
      </c>
    </row>
    <row r="7" spans="2:8" ht="13.5" thickBot="1">
      <c r="B7" s="78"/>
      <c r="C7" s="79"/>
      <c r="D7" s="134"/>
      <c r="E7" s="80"/>
      <c r="F7" s="105" t="s">
        <v>21</v>
      </c>
      <c r="G7" s="81"/>
      <c r="H7" s="105" t="s">
        <v>21</v>
      </c>
    </row>
    <row r="8" spans="2:8" ht="13.5" thickBot="1">
      <c r="B8" s="288"/>
      <c r="C8" s="132"/>
      <c r="D8" s="289"/>
      <c r="E8" s="84"/>
      <c r="F8" s="103"/>
      <c r="G8" s="93"/>
      <c r="H8" s="103"/>
    </row>
    <row r="9" spans="2:8" ht="12.75">
      <c r="B9" s="82" t="s">
        <v>6</v>
      </c>
      <c r="C9" s="83"/>
      <c r="D9" s="103"/>
      <c r="E9" s="84"/>
      <c r="F9" s="106">
        <f>F10+F11</f>
        <v>116802777</v>
      </c>
      <c r="G9" s="106">
        <f>G10+G11</f>
        <v>0</v>
      </c>
      <c r="H9" s="106">
        <f>H10+H11</f>
        <v>119875442</v>
      </c>
    </row>
    <row r="10" spans="2:10" ht="12.75">
      <c r="B10" s="85" t="s">
        <v>31</v>
      </c>
      <c r="C10" s="19"/>
      <c r="D10" s="133"/>
      <c r="E10" s="86"/>
      <c r="F10" s="107">
        <f>101515411-3072665</f>
        <v>98442746</v>
      </c>
      <c r="G10" s="15"/>
      <c r="H10" s="107">
        <v>101515411</v>
      </c>
      <c r="J10" s="14"/>
    </row>
    <row r="11" spans="2:10" ht="12.75">
      <c r="B11" s="85" t="s">
        <v>45</v>
      </c>
      <c r="C11" s="19"/>
      <c r="D11" s="133">
        <v>1</v>
      </c>
      <c r="E11" s="86">
        <v>3</v>
      </c>
      <c r="F11" s="108">
        <v>18360031</v>
      </c>
      <c r="G11" s="15"/>
      <c r="H11" s="108">
        <v>18360031</v>
      </c>
      <c r="J11" s="14"/>
    </row>
    <row r="12" spans="2:8" ht="12.75">
      <c r="B12" s="85"/>
      <c r="C12" s="19"/>
      <c r="D12" s="133"/>
      <c r="E12" s="63"/>
      <c r="F12" s="109"/>
      <c r="G12" s="15"/>
      <c r="H12" s="109"/>
    </row>
    <row r="13" spans="2:8" ht="12.75">
      <c r="B13" s="74" t="s">
        <v>7</v>
      </c>
      <c r="C13" s="18"/>
      <c r="D13" s="104"/>
      <c r="E13" s="63"/>
      <c r="F13" s="109">
        <f>F14+F15+F16+F17</f>
        <v>235335344</v>
      </c>
      <c r="G13" s="109">
        <f>G14+G15+G16+G17</f>
        <v>0</v>
      </c>
      <c r="H13" s="109">
        <f>H14+H15+H16+H17</f>
        <v>254307043</v>
      </c>
    </row>
    <row r="14" spans="2:8" ht="12.75">
      <c r="B14" s="87" t="s">
        <v>46</v>
      </c>
      <c r="C14" s="49"/>
      <c r="D14" s="154">
        <v>2</v>
      </c>
      <c r="E14" s="86">
        <v>4</v>
      </c>
      <c r="F14" s="107">
        <f>'N-2'!D15</f>
        <v>106918773</v>
      </c>
      <c r="G14" s="77"/>
      <c r="H14" s="107">
        <v>115158046</v>
      </c>
    </row>
    <row r="15" spans="2:8" ht="12.75">
      <c r="B15" s="87" t="s">
        <v>47</v>
      </c>
      <c r="C15" s="49"/>
      <c r="D15" s="154">
        <v>3</v>
      </c>
      <c r="E15" s="86">
        <v>5</v>
      </c>
      <c r="F15" s="110">
        <f>'N-2'!D21</f>
        <v>100667810</v>
      </c>
      <c r="G15" s="77"/>
      <c r="H15" s="110">
        <v>108287068</v>
      </c>
    </row>
    <row r="16" spans="2:8" ht="12.75">
      <c r="B16" s="87" t="s">
        <v>42</v>
      </c>
      <c r="C16" s="49"/>
      <c r="D16" s="154">
        <v>4</v>
      </c>
      <c r="E16" s="86">
        <v>6</v>
      </c>
      <c r="F16" s="110">
        <f>'N-2'!D40</f>
        <v>26243731</v>
      </c>
      <c r="G16" s="77"/>
      <c r="H16" s="110">
        <v>27835021</v>
      </c>
    </row>
    <row r="17" spans="2:10" ht="12.75">
      <c r="B17" s="87" t="s">
        <v>123</v>
      </c>
      <c r="C17" s="49"/>
      <c r="D17" s="154">
        <v>5</v>
      </c>
      <c r="E17" s="86">
        <v>7</v>
      </c>
      <c r="F17" s="108">
        <f>'N-2'!D61</f>
        <v>1505030</v>
      </c>
      <c r="G17" s="77"/>
      <c r="H17" s="108">
        <v>3026908</v>
      </c>
      <c r="J17" s="14"/>
    </row>
    <row r="18" spans="2:8" ht="12.75">
      <c r="B18" s="87"/>
      <c r="C18" s="49"/>
      <c r="D18" s="154"/>
      <c r="E18" s="63"/>
      <c r="F18" s="110"/>
      <c r="G18" s="15"/>
      <c r="H18" s="110"/>
    </row>
    <row r="19" spans="2:8" ht="13.5" thickBot="1">
      <c r="B19" s="102" t="s">
        <v>198</v>
      </c>
      <c r="C19" s="18"/>
      <c r="D19" s="104"/>
      <c r="E19" s="51"/>
      <c r="F19" s="111">
        <f>F9+F13</f>
        <v>352138121</v>
      </c>
      <c r="G19" s="111">
        <f>G9+G13</f>
        <v>0</v>
      </c>
      <c r="H19" s="111">
        <f>H9+H13</f>
        <v>374182485</v>
      </c>
    </row>
    <row r="20" spans="2:8" ht="13.5" thickTop="1">
      <c r="B20" s="85"/>
      <c r="C20" s="19"/>
      <c r="D20" s="133"/>
      <c r="E20" s="63"/>
      <c r="F20" s="109"/>
      <c r="G20" s="15"/>
      <c r="H20" s="109"/>
    </row>
    <row r="21" spans="2:8" ht="12.75">
      <c r="B21" s="74" t="s">
        <v>56</v>
      </c>
      <c r="C21" s="18"/>
      <c r="D21" s="104"/>
      <c r="E21" s="22"/>
      <c r="F21" s="112"/>
      <c r="G21" s="17"/>
      <c r="H21" s="112"/>
    </row>
    <row r="22" spans="2:8" ht="12.75">
      <c r="B22" s="85"/>
      <c r="C22" s="19"/>
      <c r="D22" s="133"/>
      <c r="E22" s="22"/>
      <c r="F22" s="112"/>
      <c r="G22" s="17"/>
      <c r="H22" s="112"/>
    </row>
    <row r="23" spans="2:8" ht="12.75">
      <c r="B23" s="88" t="s">
        <v>13</v>
      </c>
      <c r="C23" s="89"/>
      <c r="D23" s="155"/>
      <c r="E23" s="63"/>
      <c r="F23" s="109">
        <f>F24+F25+F26+F27</f>
        <v>-251848935</v>
      </c>
      <c r="G23" s="109">
        <f>G24+G25+G26+G27</f>
        <v>0</v>
      </c>
      <c r="H23" s="109">
        <f>H24+H25+H26+H27</f>
        <v>-246717048</v>
      </c>
    </row>
    <row r="24" spans="2:8" ht="12.75">
      <c r="B24" s="87" t="s">
        <v>39</v>
      </c>
      <c r="C24" s="49"/>
      <c r="D24" s="154">
        <v>6</v>
      </c>
      <c r="E24" s="86">
        <v>8</v>
      </c>
      <c r="F24" s="107">
        <v>48500000</v>
      </c>
      <c r="G24" s="15"/>
      <c r="H24" s="107">
        <v>48500000</v>
      </c>
    </row>
    <row r="25" spans="2:8" ht="12.75">
      <c r="B25" s="87" t="s">
        <v>11</v>
      </c>
      <c r="C25" s="49"/>
      <c r="D25" s="154">
        <v>7</v>
      </c>
      <c r="E25" s="63">
        <v>9</v>
      </c>
      <c r="F25" s="110">
        <v>106700000</v>
      </c>
      <c r="G25" s="15"/>
      <c r="H25" s="110">
        <v>106700000</v>
      </c>
    </row>
    <row r="26" spans="2:8" ht="12.75">
      <c r="B26" s="87" t="s">
        <v>53</v>
      </c>
      <c r="C26" s="49"/>
      <c r="D26" s="154">
        <v>8</v>
      </c>
      <c r="E26" s="63">
        <v>10</v>
      </c>
      <c r="F26" s="110">
        <f>'N-4'!D12</f>
        <v>65652502</v>
      </c>
      <c r="G26" s="15"/>
      <c r="H26" s="110">
        <f>'N-4'!F12</f>
        <v>65652502</v>
      </c>
    </row>
    <row r="27" spans="2:8" ht="12.75">
      <c r="B27" s="87" t="s">
        <v>40</v>
      </c>
      <c r="C27" s="49"/>
      <c r="D27" s="154">
        <v>9</v>
      </c>
      <c r="E27" s="63">
        <v>11</v>
      </c>
      <c r="F27" s="108">
        <f>'N-4'!D33</f>
        <v>-472701437</v>
      </c>
      <c r="G27" s="15"/>
      <c r="H27" s="108">
        <f>'N-4'!F33</f>
        <v>-467569550</v>
      </c>
    </row>
    <row r="28" spans="2:8" ht="12.75">
      <c r="B28" s="87"/>
      <c r="C28" s="49"/>
      <c r="D28" s="154"/>
      <c r="E28" s="63"/>
      <c r="F28" s="110"/>
      <c r="G28" s="15"/>
      <c r="H28" s="110"/>
    </row>
    <row r="29" spans="2:8" ht="12.75">
      <c r="B29" s="88" t="s">
        <v>242</v>
      </c>
      <c r="C29" s="89"/>
      <c r="D29" s="155"/>
      <c r="E29" s="63"/>
      <c r="F29" s="109">
        <f>F30+F31</f>
        <v>182304694</v>
      </c>
      <c r="G29" s="109">
        <f>G30+G31</f>
        <v>0</v>
      </c>
      <c r="H29" s="109">
        <f>H30+H31</f>
        <v>189024694</v>
      </c>
    </row>
    <row r="30" spans="2:8" ht="12.75">
      <c r="B30" s="87" t="s">
        <v>243</v>
      </c>
      <c r="C30" s="49"/>
      <c r="D30" s="154">
        <v>10</v>
      </c>
      <c r="E30" s="63">
        <v>12</v>
      </c>
      <c r="F30" s="107">
        <f>'N-4'!D41</f>
        <v>152447458</v>
      </c>
      <c r="G30" s="15"/>
      <c r="H30" s="107">
        <f>159167458</f>
        <v>159167458</v>
      </c>
    </row>
    <row r="31" spans="2:8" ht="12.75">
      <c r="B31" s="87" t="s">
        <v>244</v>
      </c>
      <c r="C31" s="49"/>
      <c r="D31" s="154">
        <v>11</v>
      </c>
      <c r="E31" s="63">
        <v>13</v>
      </c>
      <c r="F31" s="108">
        <f>29857236</f>
        <v>29857236</v>
      </c>
      <c r="G31" s="15"/>
      <c r="H31" s="108">
        <f>29857236</f>
        <v>29857236</v>
      </c>
    </row>
    <row r="32" spans="2:8" ht="12.75">
      <c r="B32" s="87"/>
      <c r="C32" s="49"/>
      <c r="D32" s="154"/>
      <c r="E32" s="63"/>
      <c r="F32" s="110"/>
      <c r="G32" s="15"/>
      <c r="H32" s="110"/>
    </row>
    <row r="33" spans="2:8" ht="12.75">
      <c r="B33" s="74" t="s">
        <v>8</v>
      </c>
      <c r="C33" s="18"/>
      <c r="D33" s="104"/>
      <c r="E33" s="63"/>
      <c r="F33" s="109">
        <f>F34+F35+F36+F37+F38+F39+F40</f>
        <v>421682362</v>
      </c>
      <c r="G33" s="109">
        <f>G34+G35+G36+G37+G38+G39+G40</f>
        <v>0</v>
      </c>
      <c r="H33" s="109">
        <f>H34+H35+H36+H37+H38+H39+H40</f>
        <v>431874839</v>
      </c>
    </row>
    <row r="34" spans="2:8" ht="12.75">
      <c r="B34" s="75" t="s">
        <v>51</v>
      </c>
      <c r="C34" s="66"/>
      <c r="D34" s="156">
        <v>12</v>
      </c>
      <c r="E34" s="76">
        <v>14</v>
      </c>
      <c r="F34" s="107">
        <v>359535025</v>
      </c>
      <c r="G34" s="77"/>
      <c r="H34" s="107">
        <v>359535025</v>
      </c>
    </row>
    <row r="35" spans="2:8" ht="12.75">
      <c r="B35" s="75" t="s">
        <v>48</v>
      </c>
      <c r="C35" s="66"/>
      <c r="D35" s="157">
        <v>13</v>
      </c>
      <c r="E35" s="63">
        <v>15</v>
      </c>
      <c r="F35" s="110">
        <f>51117002</f>
        <v>51117002</v>
      </c>
      <c r="G35" s="77"/>
      <c r="H35" s="110">
        <v>61357259</v>
      </c>
    </row>
    <row r="36" spans="2:8" ht="12.75">
      <c r="B36" s="75" t="s">
        <v>52</v>
      </c>
      <c r="C36" s="66"/>
      <c r="D36" s="157">
        <v>14</v>
      </c>
      <c r="E36" s="63">
        <v>16</v>
      </c>
      <c r="F36" s="110">
        <f>'N-4'!D76</f>
        <v>2783081</v>
      </c>
      <c r="G36" s="77"/>
      <c r="H36" s="110">
        <v>3090561</v>
      </c>
    </row>
    <row r="37" spans="2:8" ht="12.75">
      <c r="B37" s="87" t="s">
        <v>54</v>
      </c>
      <c r="C37" s="49"/>
      <c r="D37" s="154"/>
      <c r="E37" s="63"/>
      <c r="F37" s="110">
        <v>1091869</v>
      </c>
      <c r="G37" s="15"/>
      <c r="H37" s="110">
        <v>1091869</v>
      </c>
    </row>
    <row r="38" spans="2:8" ht="12.75" hidden="1">
      <c r="B38" s="87" t="s">
        <v>124</v>
      </c>
      <c r="C38" s="49"/>
      <c r="D38" s="154"/>
      <c r="E38" s="63">
        <v>17</v>
      </c>
      <c r="F38" s="110">
        <v>0</v>
      </c>
      <c r="G38" s="15"/>
      <c r="H38" s="110">
        <v>0</v>
      </c>
    </row>
    <row r="39" spans="2:8" ht="12.75">
      <c r="B39" s="75" t="s">
        <v>49</v>
      </c>
      <c r="C39" s="66"/>
      <c r="D39" s="157">
        <v>15</v>
      </c>
      <c r="E39" s="63">
        <v>18</v>
      </c>
      <c r="F39" s="110">
        <f>'N-4'!D96</f>
        <v>6504804</v>
      </c>
      <c r="G39" s="77"/>
      <c r="H39" s="110">
        <v>6149544</v>
      </c>
    </row>
    <row r="40" spans="2:8" ht="12.75">
      <c r="B40" s="75" t="s">
        <v>50</v>
      </c>
      <c r="C40" s="66"/>
      <c r="D40" s="156"/>
      <c r="E40" s="63"/>
      <c r="F40" s="108">
        <v>650581</v>
      </c>
      <c r="G40" s="77"/>
      <c r="H40" s="108">
        <v>650581</v>
      </c>
    </row>
    <row r="41" spans="2:8" ht="12.75">
      <c r="B41" s="75"/>
      <c r="C41" s="66"/>
      <c r="D41" s="156"/>
      <c r="E41" s="63"/>
      <c r="F41" s="110"/>
      <c r="G41" s="77"/>
      <c r="H41" s="110"/>
    </row>
    <row r="42" spans="2:10" ht="13.5" thickBot="1">
      <c r="B42" s="88" t="s">
        <v>199</v>
      </c>
      <c r="C42" s="89"/>
      <c r="D42" s="155"/>
      <c r="E42" s="51" t="s">
        <v>9</v>
      </c>
      <c r="F42" s="111">
        <f>F23+F29+F33</f>
        <v>352138121</v>
      </c>
      <c r="G42" s="111">
        <f>G23+G29+G33</f>
        <v>0</v>
      </c>
      <c r="H42" s="111">
        <f>H23+H29+H33</f>
        <v>374182485</v>
      </c>
      <c r="J42" s="14"/>
    </row>
    <row r="43" spans="2:8" ht="13.5" thickTop="1">
      <c r="B43" s="88"/>
      <c r="C43" s="89"/>
      <c r="D43" s="155"/>
      <c r="E43" s="51"/>
      <c r="F43" s="109"/>
      <c r="G43" s="15"/>
      <c r="H43" s="109"/>
    </row>
    <row r="44" spans="2:8" ht="13.5" thickBot="1">
      <c r="B44" s="90" t="s">
        <v>167</v>
      </c>
      <c r="C44" s="91"/>
      <c r="D44" s="158"/>
      <c r="E44" s="92"/>
      <c r="F44" s="113">
        <f>F23/4850000</f>
        <v>-51.927615463917526</v>
      </c>
      <c r="G44" s="113">
        <f>G23/4850000</f>
        <v>0</v>
      </c>
      <c r="H44" s="113">
        <f>H23/4850000</f>
        <v>-50.86949443298969</v>
      </c>
    </row>
    <row r="45" spans="2:8" ht="12.75">
      <c r="B45" s="23"/>
      <c r="C45" s="23"/>
      <c r="D45" s="23"/>
      <c r="E45" s="6"/>
      <c r="F45" s="43"/>
      <c r="G45" s="12"/>
      <c r="H45" s="43"/>
    </row>
    <row r="46" spans="5:8" ht="12.75">
      <c r="E46"/>
      <c r="G46"/>
      <c r="H46" s="14"/>
    </row>
    <row r="47" spans="5:8" ht="12.75">
      <c r="E47"/>
      <c r="F47" s="14">
        <f>F19-F42</f>
        <v>0</v>
      </c>
      <c r="G47" s="14">
        <f>G19-G42</f>
        <v>0</v>
      </c>
      <c r="H47" s="14">
        <f>H19-H42</f>
        <v>0</v>
      </c>
    </row>
    <row r="48" spans="5:8" ht="12.75">
      <c r="E48"/>
      <c r="F48" s="14"/>
      <c r="G48"/>
      <c r="H48" s="14"/>
    </row>
    <row r="49" spans="2:6" ht="12.75">
      <c r="B49" s="1"/>
      <c r="C49" s="1"/>
      <c r="D49" s="1"/>
      <c r="E49" s="4"/>
      <c r="F49" s="1"/>
    </row>
    <row r="51" spans="5:7" ht="12.75">
      <c r="E51"/>
      <c r="G51"/>
    </row>
    <row r="52" spans="5:7" ht="12.75">
      <c r="E52"/>
      <c r="G52"/>
    </row>
    <row r="53" spans="5:7" ht="12.75">
      <c r="E53"/>
      <c r="F53" s="1"/>
      <c r="G53" s="1"/>
    </row>
    <row r="54" spans="5:7" ht="12.75">
      <c r="E54"/>
      <c r="F54" s="1"/>
      <c r="G54" s="1"/>
    </row>
    <row r="55" spans="2:7" ht="12.75">
      <c r="B55" s="1"/>
      <c r="C55" s="1"/>
      <c r="D55" s="1"/>
      <c r="E55" s="1"/>
      <c r="G55" s="1"/>
    </row>
    <row r="56" spans="2:7" ht="12.75">
      <c r="B56" s="1"/>
      <c r="C56" s="1"/>
      <c r="D56" s="1"/>
      <c r="E56" s="1"/>
      <c r="G56"/>
    </row>
  </sheetData>
  <sheetProtection/>
  <mergeCells count="3">
    <mergeCell ref="B2:H2"/>
    <mergeCell ref="B3:H3"/>
    <mergeCell ref="B4:H4"/>
  </mergeCells>
  <printOptions horizontalCentered="1"/>
  <pageMargins left="0.51" right="0.75" top="0.75" bottom="0.5" header="0.5" footer="0.5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2" width="9.140625" style="7" customWidth="1"/>
    <col min="3" max="3" width="34.140625" style="7" customWidth="1"/>
    <col min="4" max="4" width="5.8515625" style="7" customWidth="1"/>
    <col min="5" max="5" width="12.7109375" style="9" customWidth="1"/>
    <col min="6" max="6" width="9.57421875" style="7" hidden="1" customWidth="1"/>
    <col min="7" max="7" width="1.7109375" style="7" customWidth="1"/>
    <col min="8" max="8" width="13.00390625" style="7" customWidth="1"/>
    <col min="9" max="9" width="9.140625" style="7" customWidth="1"/>
    <col min="10" max="10" width="14.140625" style="7" customWidth="1"/>
    <col min="11" max="12" width="9.140625" style="7" customWidth="1"/>
    <col min="13" max="13" width="11.8515625" style="7" customWidth="1"/>
    <col min="14" max="16384" width="9.140625" style="7" customWidth="1"/>
  </cols>
  <sheetData>
    <row r="1" ht="13.5" thickBot="1"/>
    <row r="2" spans="3:8" ht="15.75">
      <c r="C2" s="367" t="s">
        <v>44</v>
      </c>
      <c r="D2" s="368"/>
      <c r="E2" s="368"/>
      <c r="F2" s="368"/>
      <c r="G2" s="368"/>
      <c r="H2" s="368"/>
    </row>
    <row r="3" spans="3:8" ht="15.75">
      <c r="C3" s="370" t="s">
        <v>207</v>
      </c>
      <c r="D3" s="371"/>
      <c r="E3" s="371"/>
      <c r="F3" s="371"/>
      <c r="G3" s="371"/>
      <c r="H3" s="371"/>
    </row>
    <row r="4" spans="3:8" ht="15.75">
      <c r="C4" s="370" t="s">
        <v>254</v>
      </c>
      <c r="D4" s="371"/>
      <c r="E4" s="371"/>
      <c r="F4" s="371"/>
      <c r="G4" s="371"/>
      <c r="H4" s="371"/>
    </row>
    <row r="5" spans="3:8" ht="13.5" thickBot="1">
      <c r="C5" s="78"/>
      <c r="D5" s="79"/>
      <c r="E5" s="290"/>
      <c r="F5" s="79"/>
      <c r="G5" s="79"/>
      <c r="H5" s="79"/>
    </row>
    <row r="6" spans="3:8" ht="12.75">
      <c r="C6" s="82" t="s">
        <v>17</v>
      </c>
      <c r="D6" s="103" t="s">
        <v>16</v>
      </c>
      <c r="E6" s="117">
        <v>2015</v>
      </c>
      <c r="F6" s="84" t="s">
        <v>181</v>
      </c>
      <c r="G6" s="118"/>
      <c r="H6" s="131">
        <v>2014</v>
      </c>
    </row>
    <row r="7" spans="3:8" ht="12.75">
      <c r="C7" s="85"/>
      <c r="D7" s="133"/>
      <c r="E7" s="119" t="s">
        <v>21</v>
      </c>
      <c r="F7" s="22" t="s">
        <v>182</v>
      </c>
      <c r="G7" s="120"/>
      <c r="H7" s="27" t="s">
        <v>21</v>
      </c>
    </row>
    <row r="8" spans="3:8" ht="12.75">
      <c r="C8" s="85"/>
      <c r="D8" s="104"/>
      <c r="E8" s="159"/>
      <c r="F8" s="160">
        <v>2012</v>
      </c>
      <c r="G8" s="120"/>
      <c r="H8" s="161"/>
    </row>
    <row r="9" spans="3:10" ht="12.75">
      <c r="C9" s="53" t="s">
        <v>18</v>
      </c>
      <c r="D9" s="162">
        <v>16</v>
      </c>
      <c r="E9" s="163">
        <v>118432757</v>
      </c>
      <c r="F9" s="164"/>
      <c r="G9" s="29"/>
      <c r="H9" s="163">
        <f>'N-5'!G2</f>
        <v>190444576</v>
      </c>
      <c r="J9" s="101"/>
    </row>
    <row r="10" spans="3:8" ht="12.75">
      <c r="C10" s="53"/>
      <c r="D10" s="162"/>
      <c r="E10" s="163"/>
      <c r="F10" s="164"/>
      <c r="G10" s="29"/>
      <c r="H10" s="163"/>
    </row>
    <row r="11" spans="3:10" ht="12.75">
      <c r="C11" s="74" t="s">
        <v>174</v>
      </c>
      <c r="D11" s="133"/>
      <c r="E11" s="123">
        <v>954</v>
      </c>
      <c r="F11" s="62"/>
      <c r="G11" s="122"/>
      <c r="H11" s="41">
        <v>1487</v>
      </c>
      <c r="J11" s="16"/>
    </row>
    <row r="12" spans="3:13" ht="12.75">
      <c r="C12" s="74"/>
      <c r="D12" s="133"/>
      <c r="E12" s="123"/>
      <c r="F12" s="62"/>
      <c r="G12" s="122"/>
      <c r="H12" s="41"/>
      <c r="J12" s="16"/>
      <c r="M12" s="271"/>
    </row>
    <row r="13" spans="3:13" ht="12.75">
      <c r="C13" s="74" t="s">
        <v>24</v>
      </c>
      <c r="D13" s="133">
        <v>17</v>
      </c>
      <c r="E13" s="121">
        <v>115153639</v>
      </c>
      <c r="F13" s="60">
        <f>E13/E9*100</f>
        <v>97.23124067777972</v>
      </c>
      <c r="G13" s="122"/>
      <c r="H13" s="50">
        <f>'N-5'!G16</f>
        <v>178361488</v>
      </c>
      <c r="M13" s="271"/>
    </row>
    <row r="14" spans="3:13" ht="12.75">
      <c r="C14" s="85"/>
      <c r="D14" s="133"/>
      <c r="E14" s="123"/>
      <c r="F14" s="62"/>
      <c r="G14" s="122"/>
      <c r="H14" s="41"/>
      <c r="M14" s="271"/>
    </row>
    <row r="15" spans="3:13" ht="12.75">
      <c r="C15" s="74" t="s">
        <v>22</v>
      </c>
      <c r="D15" s="133"/>
      <c r="E15" s="124">
        <v>3279118</v>
      </c>
      <c r="F15" s="60">
        <f>E15/E9*100</f>
        <v>2.7687593222202875</v>
      </c>
      <c r="G15" s="125"/>
      <c r="H15" s="72">
        <f>H9-H13</f>
        <v>12083088</v>
      </c>
      <c r="M15" s="271"/>
    </row>
    <row r="16" spans="3:13" ht="12.75">
      <c r="C16" s="74"/>
      <c r="D16" s="133"/>
      <c r="E16" s="124"/>
      <c r="F16" s="60"/>
      <c r="G16" s="125"/>
      <c r="H16" s="72"/>
      <c r="M16" s="271"/>
    </row>
    <row r="17" spans="3:13" ht="12.75">
      <c r="C17" s="74" t="s">
        <v>23</v>
      </c>
      <c r="D17" s="133"/>
      <c r="E17" s="124">
        <v>8055745</v>
      </c>
      <c r="F17" s="124">
        <f>SUM(F18:F20)</f>
        <v>6.801956826859987</v>
      </c>
      <c r="G17" s="124">
        <f>SUM(G18:G20)</f>
        <v>0</v>
      </c>
      <c r="H17" s="124">
        <f>SUM(H18:H20)</f>
        <v>10009436</v>
      </c>
      <c r="M17" s="272"/>
    </row>
    <row r="18" spans="3:13" ht="12.75">
      <c r="C18" s="85" t="s">
        <v>57</v>
      </c>
      <c r="D18" s="133">
        <v>18</v>
      </c>
      <c r="E18" s="126">
        <v>7827144</v>
      </c>
      <c r="F18" s="69">
        <f>E18/E9*100</f>
        <v>6.608935060086458</v>
      </c>
      <c r="G18" s="122"/>
      <c r="H18" s="114">
        <f>'N-5'!G102</f>
        <v>9670384</v>
      </c>
      <c r="M18" s="273"/>
    </row>
    <row r="19" spans="3:8" ht="12.75">
      <c r="C19" s="85" t="s">
        <v>38</v>
      </c>
      <c r="D19" s="133"/>
      <c r="E19" s="127">
        <v>196188</v>
      </c>
      <c r="F19" s="70">
        <f>E19/E9*100</f>
        <v>0.16565349399068705</v>
      </c>
      <c r="G19" s="122"/>
      <c r="H19" s="115">
        <f>312373-13000</f>
        <v>299373</v>
      </c>
    </row>
    <row r="20" spans="3:8" ht="12.75">
      <c r="C20" s="85" t="s">
        <v>121</v>
      </c>
      <c r="D20" s="133">
        <v>19</v>
      </c>
      <c r="E20" s="128">
        <v>32413</v>
      </c>
      <c r="F20" s="71">
        <f>E20/E9*100</f>
        <v>0.02736827278284166</v>
      </c>
      <c r="G20" s="122"/>
      <c r="H20" s="61">
        <f>'N-5'!G108</f>
        <v>39679</v>
      </c>
    </row>
    <row r="21" spans="3:13" ht="12.75">
      <c r="C21" s="85"/>
      <c r="D21" s="133"/>
      <c r="E21" s="129"/>
      <c r="F21" s="62"/>
      <c r="G21" s="122"/>
      <c r="H21" s="116"/>
      <c r="M21" s="16"/>
    </row>
    <row r="22" spans="3:8" ht="12.75">
      <c r="C22" s="74" t="s">
        <v>292</v>
      </c>
      <c r="D22" s="133"/>
      <c r="E22" s="124">
        <v>-4776627</v>
      </c>
      <c r="F22" s="60">
        <f>E22/E9*100</f>
        <v>-4.0331975046397</v>
      </c>
      <c r="G22" s="122"/>
      <c r="H22" s="72">
        <f>H15-H17</f>
        <v>2073652</v>
      </c>
    </row>
    <row r="23" spans="3:8" ht="12.75">
      <c r="C23" s="74"/>
      <c r="D23" s="133"/>
      <c r="E23" s="124"/>
      <c r="F23" s="62"/>
      <c r="G23" s="122"/>
      <c r="H23" s="72"/>
    </row>
    <row r="24" spans="3:11" ht="12.75">
      <c r="C24" s="75" t="s">
        <v>158</v>
      </c>
      <c r="D24" s="133"/>
      <c r="E24" s="124">
        <v>0</v>
      </c>
      <c r="F24" s="60">
        <f>E24/E9*100</f>
        <v>0</v>
      </c>
      <c r="G24" s="122"/>
      <c r="H24" s="124">
        <v>103708</v>
      </c>
      <c r="K24" s="55"/>
    </row>
    <row r="25" spans="3:8" ht="12.75">
      <c r="C25" s="75"/>
      <c r="D25" s="133"/>
      <c r="E25" s="124"/>
      <c r="F25" s="62"/>
      <c r="G25" s="122"/>
      <c r="H25" s="72"/>
    </row>
    <row r="26" spans="3:8" ht="12.75">
      <c r="C26" s="74" t="s">
        <v>286</v>
      </c>
      <c r="D26" s="133"/>
      <c r="E26" s="124">
        <v>-4776627</v>
      </c>
      <c r="F26" s="60">
        <f>E26/E9*100</f>
        <v>-4.0331975046397</v>
      </c>
      <c r="G26" s="122"/>
      <c r="H26" s="72">
        <f>H22-H24</f>
        <v>1969944</v>
      </c>
    </row>
    <row r="27" spans="3:8" ht="12.75">
      <c r="C27" s="74"/>
      <c r="D27" s="133"/>
      <c r="E27" s="124"/>
      <c r="F27" s="62"/>
      <c r="G27" s="122"/>
      <c r="H27" s="72"/>
    </row>
    <row r="28" spans="3:8" ht="12.75">
      <c r="C28" s="75" t="s">
        <v>291</v>
      </c>
      <c r="D28" s="133"/>
      <c r="E28" s="124">
        <v>355260</v>
      </c>
      <c r="F28" s="60">
        <f>E28/E9*100</f>
        <v>0.2999676854605352</v>
      </c>
      <c r="G28" s="125"/>
      <c r="H28" s="124">
        <v>952223</v>
      </c>
    </row>
    <row r="29" spans="3:8" ht="12.75">
      <c r="C29" s="75"/>
      <c r="D29" s="133"/>
      <c r="E29" s="124"/>
      <c r="F29" s="62"/>
      <c r="G29" s="122"/>
      <c r="H29" s="72"/>
    </row>
    <row r="30" spans="3:8" ht="12.75">
      <c r="C30" s="74" t="s">
        <v>287</v>
      </c>
      <c r="D30" s="133"/>
      <c r="E30" s="124">
        <v>-5131887</v>
      </c>
      <c r="F30" s="60">
        <f>E30/E9*100</f>
        <v>-4.333165190100235</v>
      </c>
      <c r="G30" s="122"/>
      <c r="H30" s="72">
        <f>H26-H28</f>
        <v>1017721</v>
      </c>
    </row>
    <row r="31" spans="3:8" ht="12.75">
      <c r="C31" s="74"/>
      <c r="D31" s="133"/>
      <c r="E31" s="124"/>
      <c r="F31" s="62"/>
      <c r="G31" s="122"/>
      <c r="H31" s="72"/>
    </row>
    <row r="32" spans="3:8" ht="13.5" thickBot="1">
      <c r="C32" s="97" t="s">
        <v>10</v>
      </c>
      <c r="D32" s="134">
        <v>20</v>
      </c>
      <c r="E32" s="130">
        <v>-1.058121030927835</v>
      </c>
      <c r="F32" s="130">
        <f>F30/4850000</f>
        <v>-8.934361216701516E-07</v>
      </c>
      <c r="G32" s="130">
        <f>G30/4850000</f>
        <v>0</v>
      </c>
      <c r="H32" s="130">
        <f>H30/4850000</f>
        <v>0.20983938144329897</v>
      </c>
    </row>
    <row r="33" spans="3:8" ht="12.75">
      <c r="C33" s="40"/>
      <c r="D33" s="19"/>
      <c r="E33" s="63"/>
      <c r="F33" s="19"/>
      <c r="G33" s="19"/>
      <c r="H33" s="65"/>
    </row>
    <row r="34" spans="3:8" ht="12.75">
      <c r="C34" s="40"/>
      <c r="D34" s="19"/>
      <c r="E34" s="65"/>
      <c r="F34" s="19"/>
      <c r="G34" s="19"/>
      <c r="H34" s="64"/>
    </row>
    <row r="35" spans="3:8" ht="12.75">
      <c r="C35" s="40"/>
      <c r="D35" s="19"/>
      <c r="E35" s="63"/>
      <c r="F35" s="19"/>
      <c r="G35" s="19"/>
      <c r="H35" s="19"/>
    </row>
    <row r="36" spans="3:8" ht="12.75">
      <c r="C36" s="48" t="s">
        <v>183</v>
      </c>
      <c r="D36" s="66"/>
      <c r="E36" s="66"/>
      <c r="F36" s="66"/>
      <c r="G36" s="66"/>
      <c r="H36" s="66"/>
    </row>
    <row r="37" spans="3:8" ht="12.75">
      <c r="C37" s="38" t="s">
        <v>303</v>
      </c>
      <c r="D37" s="66"/>
      <c r="E37" s="66"/>
      <c r="F37" s="66"/>
      <c r="G37" s="66"/>
      <c r="H37" s="66"/>
    </row>
    <row r="38" spans="3:8" ht="12.75">
      <c r="C38" s="67" t="s">
        <v>304</v>
      </c>
      <c r="D38" s="68"/>
      <c r="E38" s="68"/>
      <c r="F38" s="68"/>
      <c r="G38" s="68"/>
      <c r="H38" s="68"/>
    </row>
    <row r="39" ht="12.75"/>
  </sheetData>
  <sheetProtection/>
  <mergeCells count="3">
    <mergeCell ref="C2:H2"/>
    <mergeCell ref="C3:H3"/>
    <mergeCell ref="C4:H4"/>
  </mergeCells>
  <printOptions horizontalCentered="1"/>
  <pageMargins left="0.27" right="0.16" top="1" bottom="1" header="0.5" footer="0.5"/>
  <pageSetup firstPageNumber="4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13.140625" style="7" customWidth="1"/>
    <col min="5" max="5" width="6.8515625" style="11" hidden="1" customWidth="1"/>
    <col min="6" max="6" width="12.7109375" style="7" customWidth="1"/>
    <col min="7" max="7" width="1.7109375" style="7" customWidth="1"/>
    <col min="8" max="8" width="12.7109375" style="7" customWidth="1"/>
    <col min="9" max="10" width="9.140625" style="7" customWidth="1"/>
    <col min="11" max="11" width="16.00390625" style="55" customWidth="1"/>
    <col min="12" max="16384" width="9.140625" style="7" customWidth="1"/>
  </cols>
  <sheetData>
    <row r="1" ht="13.5" thickBot="1"/>
    <row r="2" spans="2:8" ht="12.75">
      <c r="B2" s="360" t="s">
        <v>44</v>
      </c>
      <c r="C2" s="361"/>
      <c r="D2" s="361"/>
      <c r="E2" s="361"/>
      <c r="F2" s="361"/>
      <c r="G2" s="361"/>
      <c r="H2" s="325"/>
    </row>
    <row r="3" spans="2:8" ht="12.75">
      <c r="B3" s="149"/>
      <c r="C3" s="46"/>
      <c r="D3" s="46"/>
      <c r="E3" s="47"/>
      <c r="F3" s="19"/>
      <c r="G3" s="19"/>
      <c r="H3" s="125"/>
    </row>
    <row r="4" spans="2:8" ht="12.75">
      <c r="B4" s="364" t="s">
        <v>26</v>
      </c>
      <c r="C4" s="359"/>
      <c r="D4" s="359"/>
      <c r="E4" s="359"/>
      <c r="F4" s="359"/>
      <c r="G4" s="359"/>
      <c r="H4" s="365"/>
    </row>
    <row r="5" spans="2:8" ht="12.75">
      <c r="B5" s="364" t="s">
        <v>254</v>
      </c>
      <c r="C5" s="359"/>
      <c r="D5" s="359"/>
      <c r="E5" s="359"/>
      <c r="F5" s="359"/>
      <c r="G5" s="359"/>
      <c r="H5" s="365"/>
    </row>
    <row r="6" spans="2:8" ht="13.5" thickBot="1">
      <c r="B6" s="150"/>
      <c r="C6" s="151"/>
      <c r="D6" s="151"/>
      <c r="E6" s="152"/>
      <c r="F6" s="79"/>
      <c r="G6" s="79"/>
      <c r="H6" s="99"/>
    </row>
    <row r="7" spans="2:8" ht="12.75">
      <c r="B7" s="82" t="s">
        <v>17</v>
      </c>
      <c r="C7" s="83"/>
      <c r="D7" s="132"/>
      <c r="E7" s="84" t="s">
        <v>162</v>
      </c>
      <c r="F7" s="103" t="s">
        <v>169</v>
      </c>
      <c r="G7" s="93"/>
      <c r="H7" s="103" t="s">
        <v>169</v>
      </c>
    </row>
    <row r="8" spans="2:8" ht="12.75">
      <c r="B8" s="85"/>
      <c r="C8" s="19"/>
      <c r="D8" s="19"/>
      <c r="E8" s="47"/>
      <c r="F8" s="137" t="s">
        <v>255</v>
      </c>
      <c r="G8" s="58"/>
      <c r="H8" s="137" t="s">
        <v>201</v>
      </c>
    </row>
    <row r="9" spans="2:8" ht="13.5" thickBot="1">
      <c r="B9" s="78"/>
      <c r="C9" s="79"/>
      <c r="D9" s="79"/>
      <c r="E9" s="152"/>
      <c r="F9" s="105" t="s">
        <v>21</v>
      </c>
      <c r="G9" s="80"/>
      <c r="H9" s="105" t="s">
        <v>21</v>
      </c>
    </row>
    <row r="10" spans="2:8" ht="12.75">
      <c r="B10" s="82" t="s">
        <v>27</v>
      </c>
      <c r="C10" s="83"/>
      <c r="D10" s="96"/>
      <c r="E10" s="47"/>
      <c r="F10" s="138"/>
      <c r="G10" s="19"/>
      <c r="H10" s="148"/>
    </row>
    <row r="11" spans="2:8" ht="12.75">
      <c r="B11" s="87" t="s">
        <v>1</v>
      </c>
      <c r="C11" s="49"/>
      <c r="D11" s="153"/>
      <c r="E11" s="47"/>
      <c r="F11" s="139">
        <v>126052015</v>
      </c>
      <c r="G11" s="19"/>
      <c r="H11" s="139">
        <v>179887172</v>
      </c>
    </row>
    <row r="12" spans="2:8" ht="12.75">
      <c r="B12" s="85" t="s">
        <v>256</v>
      </c>
      <c r="C12" s="19"/>
      <c r="D12" s="122"/>
      <c r="E12" s="47"/>
      <c r="F12" s="140">
        <v>-120853893</v>
      </c>
      <c r="G12" s="140">
        <f>-178935095+4246045</f>
        <v>-174689050</v>
      </c>
      <c r="H12" s="140">
        <v>-178935095</v>
      </c>
    </row>
    <row r="13" spans="2:8" ht="12.75">
      <c r="B13" s="74" t="s">
        <v>35</v>
      </c>
      <c r="C13" s="18"/>
      <c r="D13" s="125"/>
      <c r="E13" s="47"/>
      <c r="F13" s="141">
        <v>5198122</v>
      </c>
      <c r="G13" s="141">
        <f>SUM(G11:G12)</f>
        <v>-174689050</v>
      </c>
      <c r="H13" s="141">
        <v>952077</v>
      </c>
    </row>
    <row r="14" spans="2:8" ht="12.75">
      <c r="B14" s="74"/>
      <c r="C14" s="18"/>
      <c r="D14" s="125"/>
      <c r="E14" s="47"/>
      <c r="F14" s="138"/>
      <c r="G14" s="19"/>
      <c r="H14" s="138"/>
    </row>
    <row r="15" spans="2:8" ht="12.75">
      <c r="B15" s="74" t="s">
        <v>28</v>
      </c>
      <c r="C15" s="18"/>
      <c r="D15" s="125"/>
      <c r="E15" s="47"/>
      <c r="F15" s="140"/>
      <c r="G15" s="19"/>
      <c r="H15" s="140"/>
    </row>
    <row r="16" spans="2:8" ht="12.75">
      <c r="B16" s="87" t="s">
        <v>14</v>
      </c>
      <c r="C16" s="49"/>
      <c r="D16" s="153"/>
      <c r="E16" s="47"/>
      <c r="F16" s="142">
        <v>0</v>
      </c>
      <c r="G16" s="19"/>
      <c r="H16" s="142">
        <v>0</v>
      </c>
    </row>
    <row r="17" spans="2:8" ht="12.75">
      <c r="B17" s="74" t="s">
        <v>36</v>
      </c>
      <c r="C17" s="18"/>
      <c r="D17" s="125"/>
      <c r="E17" s="47"/>
      <c r="F17" s="141">
        <v>0</v>
      </c>
      <c r="G17" s="136">
        <f>SUM(G16:G16)</f>
        <v>0</v>
      </c>
      <c r="H17" s="141">
        <v>0</v>
      </c>
    </row>
    <row r="18" spans="2:8" ht="12.75">
      <c r="B18" s="85"/>
      <c r="C18" s="19"/>
      <c r="D18" s="122"/>
      <c r="E18" s="47"/>
      <c r="F18" s="138"/>
      <c r="G18" s="19"/>
      <c r="H18" s="138"/>
    </row>
    <row r="19" spans="2:8" ht="12.75">
      <c r="B19" s="74" t="s">
        <v>29</v>
      </c>
      <c r="C19" s="18"/>
      <c r="D19" s="125"/>
      <c r="E19" s="47"/>
      <c r="F19" s="143"/>
      <c r="G19" s="19"/>
      <c r="H19" s="143"/>
    </row>
    <row r="20" spans="2:8" ht="12.75" hidden="1">
      <c r="B20" s="85" t="s">
        <v>175</v>
      </c>
      <c r="C20" s="19"/>
      <c r="D20" s="122"/>
      <c r="E20" s="47"/>
      <c r="F20" s="142">
        <v>0</v>
      </c>
      <c r="G20" s="15"/>
      <c r="H20" s="142">
        <v>0</v>
      </c>
    </row>
    <row r="21" spans="2:8" ht="12.75" hidden="1">
      <c r="B21" s="85" t="s">
        <v>176</v>
      </c>
      <c r="C21" s="19"/>
      <c r="D21" s="122"/>
      <c r="E21" s="47"/>
      <c r="F21" s="140">
        <v>0</v>
      </c>
      <c r="G21" s="15"/>
      <c r="H21" s="140">
        <v>0</v>
      </c>
    </row>
    <row r="22" spans="2:8" ht="12.75">
      <c r="B22" s="85" t="s">
        <v>285</v>
      </c>
      <c r="C22" s="19"/>
      <c r="D22" s="122"/>
      <c r="E22" s="47"/>
      <c r="F22" s="140">
        <v>-6720000</v>
      </c>
      <c r="G22" s="15"/>
      <c r="H22" s="140">
        <v>-6720000</v>
      </c>
    </row>
    <row r="23" spans="2:8" ht="12.75">
      <c r="B23" s="74" t="s">
        <v>37</v>
      </c>
      <c r="C23" s="18"/>
      <c r="D23" s="125"/>
      <c r="E23" s="47"/>
      <c r="F23" s="141">
        <v>-6720000</v>
      </c>
      <c r="G23" s="136">
        <f>SUM(G20:G22)</f>
        <v>0</v>
      </c>
      <c r="H23" s="141">
        <v>-6720000</v>
      </c>
    </row>
    <row r="24" spans="2:8" ht="12.75">
      <c r="B24" s="85"/>
      <c r="C24" s="19"/>
      <c r="D24" s="122"/>
      <c r="E24" s="47"/>
      <c r="F24" s="138"/>
      <c r="G24" s="19"/>
      <c r="H24" s="138"/>
    </row>
    <row r="25" spans="2:8" ht="15">
      <c r="B25" s="74" t="s">
        <v>122</v>
      </c>
      <c r="C25" s="18"/>
      <c r="D25" s="125"/>
      <c r="E25" s="47"/>
      <c r="F25" s="144">
        <v>-1521878</v>
      </c>
      <c r="G25" s="144">
        <f>G13+G17+G23</f>
        <v>-174689050</v>
      </c>
      <c r="H25" s="144">
        <v>-5767923</v>
      </c>
    </row>
    <row r="26" spans="2:8" ht="12.75">
      <c r="B26" s="74" t="s">
        <v>186</v>
      </c>
      <c r="C26" s="18"/>
      <c r="D26" s="125"/>
      <c r="E26" s="47"/>
      <c r="F26" s="145">
        <v>3026908</v>
      </c>
      <c r="G26" s="19"/>
      <c r="H26" s="145">
        <v>9219593</v>
      </c>
    </row>
    <row r="27" spans="2:8" ht="15">
      <c r="B27" s="74" t="s">
        <v>187</v>
      </c>
      <c r="C27" s="18"/>
      <c r="D27" s="125"/>
      <c r="E27" s="51"/>
      <c r="F27" s="146">
        <v>1505030</v>
      </c>
      <c r="G27" s="19"/>
      <c r="H27" s="146">
        <v>3451670</v>
      </c>
    </row>
    <row r="28" spans="2:8" ht="12.75">
      <c r="B28" s="74"/>
      <c r="C28" s="18"/>
      <c r="D28" s="125"/>
      <c r="E28" s="51"/>
      <c r="F28" s="145"/>
      <c r="G28" s="19"/>
      <c r="H28" s="145"/>
    </row>
    <row r="29" spans="2:8" ht="13.5" thickBot="1">
      <c r="B29" s="97" t="s">
        <v>161</v>
      </c>
      <c r="C29" s="98"/>
      <c r="D29" s="135"/>
      <c r="E29" s="52">
        <v>24</v>
      </c>
      <c r="F29" s="147">
        <v>1.071777731958763</v>
      </c>
      <c r="G29" s="147">
        <f>G13/4850000</f>
        <v>-36.01836082474227</v>
      </c>
      <c r="H29" s="147">
        <v>0.19630453608247422</v>
      </c>
    </row>
    <row r="30" spans="6:8" ht="12.75">
      <c r="F30" s="20"/>
      <c r="H30" s="16"/>
    </row>
    <row r="31" spans="2:8" ht="12.75">
      <c r="B31"/>
      <c r="C31"/>
      <c r="D31"/>
      <c r="E31"/>
      <c r="F31" s="14"/>
      <c r="G31"/>
      <c r="H31"/>
    </row>
    <row r="32" spans="2:8" ht="12.75">
      <c r="B32"/>
      <c r="C32"/>
      <c r="D32"/>
      <c r="E32"/>
      <c r="F32" s="14"/>
      <c r="G32"/>
      <c r="H32"/>
    </row>
    <row r="33" spans="2:8" ht="12.75">
      <c r="B33"/>
      <c r="C33"/>
      <c r="D33"/>
      <c r="E33"/>
      <c r="F33" s="14">
        <f>'BS'!F17-'CF'!F27</f>
        <v>0</v>
      </c>
      <c r="G33"/>
      <c r="H33"/>
    </row>
    <row r="34" spans="2:8" ht="12.75">
      <c r="B34"/>
      <c r="C34"/>
      <c r="D34"/>
      <c r="E34"/>
      <c r="F34"/>
      <c r="G34"/>
      <c r="H34" s="14"/>
    </row>
    <row r="35" spans="2:11" ht="12.75">
      <c r="B35" s="1"/>
      <c r="C35" s="1"/>
      <c r="D35" s="1"/>
      <c r="E35" s="4"/>
      <c r="F35" s="100"/>
      <c r="G35" s="2"/>
      <c r="K35" s="56"/>
    </row>
    <row r="36" spans="5:11" ht="12.75">
      <c r="E36" s="3"/>
      <c r="G36" s="2"/>
      <c r="K36" s="56"/>
    </row>
    <row r="37" ht="12.75">
      <c r="K37" s="56"/>
    </row>
    <row r="38" spans="2:8" ht="12.75">
      <c r="B38"/>
      <c r="C38"/>
      <c r="D38"/>
      <c r="E38"/>
      <c r="G38"/>
      <c r="H38" s="14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15</v>
      </c>
      <c r="C43" s="1"/>
      <c r="D43" s="1"/>
      <c r="E43" s="1" t="s">
        <v>19</v>
      </c>
      <c r="G43" s="1"/>
      <c r="H43"/>
    </row>
    <row r="44" spans="2:8" ht="12.75">
      <c r="B44" s="1" t="s">
        <v>166</v>
      </c>
      <c r="C44" s="1"/>
      <c r="D44" s="1"/>
      <c r="E44" s="1" t="s">
        <v>20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S5" sqref="S5"/>
    </sheetView>
  </sheetViews>
  <sheetFormatPr defaultColWidth="9.140625" defaultRowHeight="12.75"/>
  <cols>
    <col min="1" max="1" width="4.7109375" style="11" customWidth="1"/>
    <col min="2" max="2" width="26.00390625" style="7" customWidth="1"/>
    <col min="3" max="3" width="12.7109375" style="7" customWidth="1"/>
    <col min="4" max="4" width="8.57421875" style="7" hidden="1" customWidth="1"/>
    <col min="5" max="5" width="12.8515625" style="7" hidden="1" customWidth="1"/>
    <col min="6" max="6" width="12.7109375" style="7" customWidth="1"/>
    <col min="7" max="7" width="5.7109375" style="7" hidden="1" customWidth="1"/>
    <col min="8" max="8" width="12.7109375" style="7" customWidth="1"/>
    <col min="9" max="9" width="14.421875" style="7" customWidth="1"/>
    <col min="10" max="10" width="11.57421875" style="7" hidden="1" customWidth="1"/>
    <col min="11" max="11" width="12.7109375" style="7" customWidth="1"/>
    <col min="12" max="12" width="11.7109375" style="7" customWidth="1"/>
    <col min="13" max="13" width="11.7109375" style="7" hidden="1" customWidth="1"/>
    <col min="14" max="14" width="12.7109375" style="7" customWidth="1"/>
    <col min="15" max="16384" width="9.140625" style="7" customWidth="1"/>
  </cols>
  <sheetData>
    <row r="1" spans="1:12" ht="12.75">
      <c r="A1" s="21"/>
      <c r="B1" s="23" t="s">
        <v>345</v>
      </c>
      <c r="C1" s="23"/>
      <c r="D1" s="23"/>
      <c r="E1" s="305"/>
      <c r="F1" s="306"/>
      <c r="G1" s="8"/>
      <c r="H1" s="8"/>
      <c r="I1" s="8"/>
      <c r="J1" s="8"/>
      <c r="K1" s="307"/>
      <c r="L1" s="307"/>
    </row>
    <row r="2" spans="2:12" ht="16.5" customHeight="1" thickBot="1">
      <c r="B2" s="308"/>
      <c r="C2" s="309"/>
      <c r="D2" s="19"/>
      <c r="E2" s="19"/>
      <c r="F2" s="19"/>
      <c r="G2" s="19"/>
      <c r="H2" s="19"/>
      <c r="I2" s="19"/>
      <c r="J2" s="19"/>
      <c r="K2" s="19"/>
      <c r="L2" s="19"/>
    </row>
    <row r="3" spans="2:14" ht="12.75">
      <c r="B3" s="103"/>
      <c r="C3" s="376" t="s">
        <v>305</v>
      </c>
      <c r="D3" s="377"/>
      <c r="E3" s="377"/>
      <c r="F3" s="378"/>
      <c r="G3" s="376" t="s">
        <v>115</v>
      </c>
      <c r="H3" s="377"/>
      <c r="I3" s="377"/>
      <c r="J3" s="377"/>
      <c r="K3" s="378"/>
      <c r="L3" s="117" t="s">
        <v>306</v>
      </c>
      <c r="M3" s="342" t="s">
        <v>307</v>
      </c>
      <c r="N3" s="343" t="s">
        <v>308</v>
      </c>
    </row>
    <row r="4" spans="2:14" ht="12.75">
      <c r="B4" s="104" t="s">
        <v>17</v>
      </c>
      <c r="C4" s="322" t="s">
        <v>309</v>
      </c>
      <c r="D4" s="310" t="s">
        <v>310</v>
      </c>
      <c r="E4" s="310" t="s">
        <v>311</v>
      </c>
      <c r="F4" s="323" t="s">
        <v>312</v>
      </c>
      <c r="G4" s="322" t="s">
        <v>313</v>
      </c>
      <c r="H4" s="310" t="s">
        <v>309</v>
      </c>
      <c r="I4" s="310" t="s">
        <v>314</v>
      </c>
      <c r="J4" s="310" t="s">
        <v>311</v>
      </c>
      <c r="K4" s="337" t="s">
        <v>312</v>
      </c>
      <c r="L4" s="119" t="s">
        <v>315</v>
      </c>
      <c r="M4" s="311" t="s">
        <v>306</v>
      </c>
      <c r="N4" s="344" t="s">
        <v>316</v>
      </c>
    </row>
    <row r="5" spans="2:14" ht="13.5" thickBot="1">
      <c r="B5" s="105"/>
      <c r="C5" s="348" t="s">
        <v>343</v>
      </c>
      <c r="D5" s="349" t="s">
        <v>317</v>
      </c>
      <c r="E5" s="349" t="s">
        <v>317</v>
      </c>
      <c r="F5" s="350" t="s">
        <v>344</v>
      </c>
      <c r="G5" s="351"/>
      <c r="H5" s="352" t="s">
        <v>343</v>
      </c>
      <c r="I5" s="349" t="s">
        <v>317</v>
      </c>
      <c r="J5" s="349" t="s">
        <v>317</v>
      </c>
      <c r="K5" s="353" t="s">
        <v>344</v>
      </c>
      <c r="L5" s="351"/>
      <c r="M5" s="354" t="s">
        <v>318</v>
      </c>
      <c r="N5" s="350" t="s">
        <v>344</v>
      </c>
    </row>
    <row r="6" spans="2:14" ht="12.75">
      <c r="B6" s="355" t="s">
        <v>319</v>
      </c>
      <c r="C6" s="324"/>
      <c r="D6" s="313"/>
      <c r="E6" s="15"/>
      <c r="F6" s="330"/>
      <c r="G6" s="85"/>
      <c r="H6" s="313"/>
      <c r="I6" s="313"/>
      <c r="J6" s="313"/>
      <c r="K6" s="338"/>
      <c r="L6" s="127"/>
      <c r="M6" s="15"/>
      <c r="N6" s="330"/>
    </row>
    <row r="7" spans="2:14" ht="12.75">
      <c r="B7" s="40" t="s">
        <v>320</v>
      </c>
      <c r="C7" s="324">
        <v>1202969</v>
      </c>
      <c r="D7" s="313">
        <v>0</v>
      </c>
      <c r="E7" s="15">
        <v>0</v>
      </c>
      <c r="F7" s="330">
        <f>SUM(C7:E7)</f>
        <v>1202969</v>
      </c>
      <c r="G7" s="324">
        <v>0</v>
      </c>
      <c r="H7" s="313">
        <v>0</v>
      </c>
      <c r="I7" s="313">
        <v>0</v>
      </c>
      <c r="J7" s="313">
        <v>0</v>
      </c>
      <c r="K7" s="330">
        <f>SUM(H7:J7)</f>
        <v>0</v>
      </c>
      <c r="L7" s="127">
        <v>5278476</v>
      </c>
      <c r="M7" s="15">
        <v>0</v>
      </c>
      <c r="N7" s="330">
        <f>F7-K7+L7-M7</f>
        <v>6481445</v>
      </c>
    </row>
    <row r="8" spans="2:14" ht="12.75">
      <c r="B8" s="320" t="s">
        <v>321</v>
      </c>
      <c r="C8" s="324">
        <v>8350250</v>
      </c>
      <c r="D8" s="313">
        <v>0</v>
      </c>
      <c r="E8" s="15">
        <v>0</v>
      </c>
      <c r="F8" s="330">
        <f aca="true" t="shared" si="0" ref="F8:F68">SUM(C8:E8)</f>
        <v>8350250</v>
      </c>
      <c r="G8" s="339">
        <v>0.1</v>
      </c>
      <c r="H8" s="313">
        <v>7019078</v>
      </c>
      <c r="I8" s="313">
        <f aca="true" t="shared" si="1" ref="I8:I21">ROUND((F8-H8)*G8,0)/2</f>
        <v>66558.5</v>
      </c>
      <c r="J8" s="313">
        <v>0</v>
      </c>
      <c r="K8" s="330">
        <f aca="true" t="shared" si="2" ref="K8:K68">SUM(H8:J8)</f>
        <v>7085636.5</v>
      </c>
      <c r="L8" s="127">
        <f>6696537-669654</f>
        <v>6026883</v>
      </c>
      <c r="M8" s="15"/>
      <c r="N8" s="330">
        <f>F8-K8+L8-M8</f>
        <v>7291496.5</v>
      </c>
    </row>
    <row r="9" spans="2:14" ht="12.75">
      <c r="B9" s="40" t="s">
        <v>322</v>
      </c>
      <c r="C9" s="324">
        <v>107603</v>
      </c>
      <c r="D9" s="313">
        <v>0</v>
      </c>
      <c r="E9" s="15">
        <v>0</v>
      </c>
      <c r="F9" s="330">
        <f t="shared" si="0"/>
        <v>107603</v>
      </c>
      <c r="G9" s="339">
        <v>0.1</v>
      </c>
      <c r="H9" s="313">
        <v>90646</v>
      </c>
      <c r="I9" s="313">
        <f t="shared" si="1"/>
        <v>848</v>
      </c>
      <c r="J9" s="313">
        <v>0</v>
      </c>
      <c r="K9" s="330">
        <f t="shared" si="2"/>
        <v>91494</v>
      </c>
      <c r="L9" s="127">
        <v>0</v>
      </c>
      <c r="M9" s="15"/>
      <c r="N9" s="330">
        <f>F9-K9+L9-M9</f>
        <v>16109</v>
      </c>
    </row>
    <row r="10" spans="2:14" ht="12.75">
      <c r="B10" s="40" t="s">
        <v>323</v>
      </c>
      <c r="C10" s="324">
        <v>514668</v>
      </c>
      <c r="D10" s="313">
        <v>0</v>
      </c>
      <c r="E10" s="15">
        <v>0</v>
      </c>
      <c r="F10" s="330">
        <f t="shared" si="0"/>
        <v>514668</v>
      </c>
      <c r="G10" s="339">
        <v>0.15</v>
      </c>
      <c r="H10" s="313">
        <v>476706</v>
      </c>
      <c r="I10" s="313">
        <f t="shared" si="1"/>
        <v>2847</v>
      </c>
      <c r="J10" s="313">
        <v>0</v>
      </c>
      <c r="K10" s="330">
        <f t="shared" si="2"/>
        <v>479553</v>
      </c>
      <c r="L10" s="127">
        <v>0</v>
      </c>
      <c r="M10" s="15"/>
      <c r="N10" s="330">
        <f>F10-K10+L10-M10</f>
        <v>35115</v>
      </c>
    </row>
    <row r="11" spans="2:14" ht="12.75">
      <c r="B11" s="40" t="s">
        <v>324</v>
      </c>
      <c r="C11" s="324">
        <v>25760959</v>
      </c>
      <c r="D11" s="313">
        <v>0</v>
      </c>
      <c r="E11" s="15">
        <v>0</v>
      </c>
      <c r="F11" s="330">
        <f t="shared" si="0"/>
        <v>25760959</v>
      </c>
      <c r="G11" s="339">
        <v>0.1</v>
      </c>
      <c r="H11" s="313">
        <v>21643844</v>
      </c>
      <c r="I11" s="313">
        <f t="shared" si="1"/>
        <v>205856</v>
      </c>
      <c r="J11" s="313">
        <v>0</v>
      </c>
      <c r="K11" s="330">
        <f t="shared" si="2"/>
        <v>21849700</v>
      </c>
      <c r="L11" s="127">
        <f>6412573-641257</f>
        <v>5771316</v>
      </c>
      <c r="M11" s="15"/>
      <c r="N11" s="330">
        <f>F11-K11+L11-M11-1</f>
        <v>9682574</v>
      </c>
    </row>
    <row r="12" spans="2:14" ht="12.75">
      <c r="B12" s="40" t="s">
        <v>325</v>
      </c>
      <c r="C12" s="324">
        <v>1013373</v>
      </c>
      <c r="D12" s="313">
        <v>0</v>
      </c>
      <c r="E12" s="15">
        <v>0</v>
      </c>
      <c r="F12" s="330">
        <f t="shared" si="0"/>
        <v>1013373</v>
      </c>
      <c r="G12" s="339">
        <v>0.1</v>
      </c>
      <c r="H12" s="313">
        <v>716095</v>
      </c>
      <c r="I12" s="313">
        <f t="shared" si="1"/>
        <v>14864</v>
      </c>
      <c r="J12" s="313">
        <v>0</v>
      </c>
      <c r="K12" s="330">
        <f t="shared" si="2"/>
        <v>730959</v>
      </c>
      <c r="L12" s="127">
        <v>0</v>
      </c>
      <c r="M12" s="15"/>
      <c r="N12" s="330">
        <f aca="true" t="shared" si="3" ref="N12:N21">F12-K12+L12-M12</f>
        <v>282414</v>
      </c>
    </row>
    <row r="13" spans="2:14" ht="12.75">
      <c r="B13" s="40" t="s">
        <v>326</v>
      </c>
      <c r="C13" s="324">
        <v>6584</v>
      </c>
      <c r="D13" s="313">
        <v>0</v>
      </c>
      <c r="E13" s="15">
        <v>0</v>
      </c>
      <c r="F13" s="330">
        <f t="shared" si="0"/>
        <v>6584</v>
      </c>
      <c r="G13" s="339">
        <v>0.1</v>
      </c>
      <c r="H13" s="313">
        <v>5559</v>
      </c>
      <c r="I13" s="313">
        <f t="shared" si="1"/>
        <v>51.5</v>
      </c>
      <c r="J13" s="313">
        <v>0</v>
      </c>
      <c r="K13" s="330">
        <f t="shared" si="2"/>
        <v>5610.5</v>
      </c>
      <c r="L13" s="127">
        <v>0</v>
      </c>
      <c r="M13" s="15"/>
      <c r="N13" s="330">
        <f t="shared" si="3"/>
        <v>973.5</v>
      </c>
    </row>
    <row r="14" spans="2:14" ht="12.75">
      <c r="B14" s="40" t="s">
        <v>327</v>
      </c>
      <c r="C14" s="324">
        <v>2590837</v>
      </c>
      <c r="D14" s="313">
        <v>0</v>
      </c>
      <c r="E14" s="15">
        <v>0</v>
      </c>
      <c r="F14" s="330">
        <f t="shared" si="0"/>
        <v>2590837</v>
      </c>
      <c r="G14" s="339">
        <v>0.15</v>
      </c>
      <c r="H14" s="313">
        <v>2150850</v>
      </c>
      <c r="I14" s="313">
        <f t="shared" si="1"/>
        <v>32999</v>
      </c>
      <c r="J14" s="313">
        <v>0</v>
      </c>
      <c r="K14" s="330">
        <f t="shared" si="2"/>
        <v>2183849</v>
      </c>
      <c r="L14" s="127">
        <v>0</v>
      </c>
      <c r="M14" s="15"/>
      <c r="N14" s="330">
        <f t="shared" si="3"/>
        <v>406988</v>
      </c>
    </row>
    <row r="15" spans="2:14" ht="12.75">
      <c r="B15" s="40" t="s">
        <v>328</v>
      </c>
      <c r="C15" s="324">
        <v>121958</v>
      </c>
      <c r="D15" s="313">
        <v>0</v>
      </c>
      <c r="E15" s="15">
        <v>0</v>
      </c>
      <c r="F15" s="330">
        <f t="shared" si="0"/>
        <v>121958</v>
      </c>
      <c r="G15" s="339">
        <v>0.15</v>
      </c>
      <c r="H15" s="313">
        <v>108860</v>
      </c>
      <c r="I15" s="313">
        <f t="shared" si="1"/>
        <v>982.5</v>
      </c>
      <c r="J15" s="313">
        <v>0</v>
      </c>
      <c r="K15" s="330">
        <f t="shared" si="2"/>
        <v>109842.5</v>
      </c>
      <c r="L15" s="127">
        <v>0</v>
      </c>
      <c r="M15" s="15"/>
      <c r="N15" s="330">
        <f t="shared" si="3"/>
        <v>12115.5</v>
      </c>
    </row>
    <row r="16" spans="2:14" ht="12.75">
      <c r="B16" s="40" t="s">
        <v>329</v>
      </c>
      <c r="C16" s="324">
        <v>465000</v>
      </c>
      <c r="D16" s="313">
        <v>0</v>
      </c>
      <c r="E16" s="15">
        <v>0</v>
      </c>
      <c r="F16" s="330">
        <f t="shared" si="0"/>
        <v>465000</v>
      </c>
      <c r="G16" s="339">
        <v>0.2</v>
      </c>
      <c r="H16" s="313">
        <v>455750</v>
      </c>
      <c r="I16" s="313">
        <f t="shared" si="1"/>
        <v>925</v>
      </c>
      <c r="J16" s="313">
        <v>0</v>
      </c>
      <c r="K16" s="330">
        <f t="shared" si="2"/>
        <v>456675</v>
      </c>
      <c r="L16" s="127">
        <v>0</v>
      </c>
      <c r="M16" s="15"/>
      <c r="N16" s="330">
        <f t="shared" si="3"/>
        <v>8325</v>
      </c>
    </row>
    <row r="17" spans="2:14" ht="12.75">
      <c r="B17" s="40" t="s">
        <v>330</v>
      </c>
      <c r="C17" s="324">
        <v>20293</v>
      </c>
      <c r="D17" s="313">
        <v>0</v>
      </c>
      <c r="E17" s="15">
        <v>0</v>
      </c>
      <c r="F17" s="330">
        <f t="shared" si="0"/>
        <v>20293</v>
      </c>
      <c r="G17" s="339">
        <v>0.15</v>
      </c>
      <c r="H17" s="313">
        <v>18089</v>
      </c>
      <c r="I17" s="313">
        <f t="shared" si="1"/>
        <v>165.5</v>
      </c>
      <c r="J17" s="313">
        <v>0</v>
      </c>
      <c r="K17" s="330">
        <f t="shared" si="2"/>
        <v>18254.5</v>
      </c>
      <c r="L17" s="127">
        <v>0</v>
      </c>
      <c r="M17" s="15"/>
      <c r="N17" s="330">
        <f t="shared" si="3"/>
        <v>2038.5</v>
      </c>
    </row>
    <row r="18" spans="2:14" ht="12.75">
      <c r="B18" s="40" t="s">
        <v>331</v>
      </c>
      <c r="C18" s="324">
        <v>308066</v>
      </c>
      <c r="D18" s="313">
        <v>0</v>
      </c>
      <c r="E18" s="15">
        <v>0</v>
      </c>
      <c r="F18" s="330">
        <f t="shared" si="0"/>
        <v>308066</v>
      </c>
      <c r="G18" s="339">
        <v>0.15</v>
      </c>
      <c r="H18" s="313">
        <v>264429</v>
      </c>
      <c r="I18" s="313">
        <f t="shared" si="1"/>
        <v>3273</v>
      </c>
      <c r="J18" s="313">
        <v>0</v>
      </c>
      <c r="K18" s="330">
        <f t="shared" si="2"/>
        <v>267702</v>
      </c>
      <c r="L18" s="127">
        <v>0</v>
      </c>
      <c r="M18" s="15"/>
      <c r="N18" s="330">
        <f t="shared" si="3"/>
        <v>40364</v>
      </c>
    </row>
    <row r="19" spans="2:14" ht="12.75">
      <c r="B19" s="40" t="s">
        <v>332</v>
      </c>
      <c r="C19" s="324">
        <v>173639</v>
      </c>
      <c r="D19" s="313">
        <v>0</v>
      </c>
      <c r="E19" s="15">
        <v>0</v>
      </c>
      <c r="F19" s="330">
        <f t="shared" si="0"/>
        <v>173639</v>
      </c>
      <c r="G19" s="339">
        <v>0.15</v>
      </c>
      <c r="H19" s="313">
        <v>159305</v>
      </c>
      <c r="I19" s="313">
        <f t="shared" si="1"/>
        <v>1075</v>
      </c>
      <c r="J19" s="313">
        <v>0</v>
      </c>
      <c r="K19" s="330">
        <f t="shared" si="2"/>
        <v>160380</v>
      </c>
      <c r="L19" s="127">
        <v>0</v>
      </c>
      <c r="M19" s="15"/>
      <c r="N19" s="330">
        <f t="shared" si="3"/>
        <v>13259</v>
      </c>
    </row>
    <row r="20" spans="2:14" ht="12.75">
      <c r="B20" s="40" t="s">
        <v>333</v>
      </c>
      <c r="C20" s="324">
        <v>68999</v>
      </c>
      <c r="D20" s="313">
        <v>0</v>
      </c>
      <c r="E20" s="15">
        <v>0</v>
      </c>
      <c r="F20" s="330">
        <f t="shared" si="0"/>
        <v>68999</v>
      </c>
      <c r="G20" s="339">
        <v>0.2</v>
      </c>
      <c r="H20" s="313">
        <v>63613</v>
      </c>
      <c r="I20" s="313">
        <f t="shared" si="1"/>
        <v>538.5</v>
      </c>
      <c r="J20" s="313">
        <v>0</v>
      </c>
      <c r="K20" s="330">
        <f t="shared" si="2"/>
        <v>64151.5</v>
      </c>
      <c r="L20" s="127">
        <v>0</v>
      </c>
      <c r="M20" s="15"/>
      <c r="N20" s="330">
        <f t="shared" si="3"/>
        <v>4847.5</v>
      </c>
    </row>
    <row r="21" spans="2:14" ht="12.75">
      <c r="B21" s="40" t="s">
        <v>334</v>
      </c>
      <c r="C21" s="324">
        <v>790361</v>
      </c>
      <c r="D21" s="313">
        <v>0</v>
      </c>
      <c r="E21" s="15">
        <v>0</v>
      </c>
      <c r="F21" s="330">
        <f t="shared" si="0"/>
        <v>790361</v>
      </c>
      <c r="G21" s="339">
        <v>0.15</v>
      </c>
      <c r="H21" s="313">
        <v>650413</v>
      </c>
      <c r="I21" s="313">
        <f t="shared" si="1"/>
        <v>10496</v>
      </c>
      <c r="J21" s="313">
        <v>0</v>
      </c>
      <c r="K21" s="330">
        <f t="shared" si="2"/>
        <v>660909</v>
      </c>
      <c r="L21" s="127">
        <v>0</v>
      </c>
      <c r="M21" s="15"/>
      <c r="N21" s="330">
        <f t="shared" si="3"/>
        <v>129452</v>
      </c>
    </row>
    <row r="22" spans="2:14" ht="12.75">
      <c r="B22" s="321" t="s">
        <v>335</v>
      </c>
      <c r="C22" s="331">
        <f>SUM(C7:C21)</f>
        <v>41495559</v>
      </c>
      <c r="D22" s="315">
        <f>SUM(D7:D21)</f>
        <v>0</v>
      </c>
      <c r="E22" s="314">
        <f>SUM(E7:E21)</f>
        <v>0</v>
      </c>
      <c r="F22" s="332">
        <f>SUM(F7:F21)</f>
        <v>41495559</v>
      </c>
      <c r="G22" s="340"/>
      <c r="H22" s="315">
        <v>33823237</v>
      </c>
      <c r="I22" s="315">
        <f aca="true" t="shared" si="4" ref="I22:N22">SUM(I7:I21)</f>
        <v>341479.5</v>
      </c>
      <c r="J22" s="315">
        <f t="shared" si="4"/>
        <v>0</v>
      </c>
      <c r="K22" s="332">
        <f>SUM(K7:K21)</f>
        <v>34164716.5</v>
      </c>
      <c r="L22" s="345">
        <f t="shared" si="4"/>
        <v>17076675</v>
      </c>
      <c r="M22" s="314"/>
      <c r="N22" s="332">
        <f t="shared" si="4"/>
        <v>24407516.5</v>
      </c>
    </row>
    <row r="23" spans="2:14" ht="12.75">
      <c r="B23" s="319" t="s">
        <v>336</v>
      </c>
      <c r="C23" s="324"/>
      <c r="D23" s="313"/>
      <c r="E23" s="15"/>
      <c r="F23" s="330"/>
      <c r="G23" s="85"/>
      <c r="H23" s="313"/>
      <c r="I23" s="313"/>
      <c r="J23" s="313"/>
      <c r="K23" s="330"/>
      <c r="L23" s="127"/>
      <c r="M23" s="15"/>
      <c r="N23" s="330"/>
    </row>
    <row r="24" spans="2:14" ht="12.75">
      <c r="B24" s="320" t="s">
        <v>321</v>
      </c>
      <c r="C24" s="324">
        <v>341600</v>
      </c>
      <c r="D24" s="313">
        <v>0</v>
      </c>
      <c r="E24" s="15">
        <v>0</v>
      </c>
      <c r="F24" s="330">
        <f t="shared" si="0"/>
        <v>341600</v>
      </c>
      <c r="G24" s="339">
        <v>0.1</v>
      </c>
      <c r="H24" s="313">
        <v>319531</v>
      </c>
      <c r="I24" s="313">
        <f>ROUND((F24-H24)*G24,0)/2</f>
        <v>1103.5</v>
      </c>
      <c r="J24" s="313">
        <v>0</v>
      </c>
      <c r="K24" s="330">
        <f t="shared" si="2"/>
        <v>320634.5</v>
      </c>
      <c r="L24" s="127">
        <f>353812-35381</f>
        <v>318431</v>
      </c>
      <c r="M24" s="15"/>
      <c r="N24" s="330">
        <f>F24-K24+L24-M24</f>
        <v>339396.5</v>
      </c>
    </row>
    <row r="25" spans="2:14" ht="12.75">
      <c r="B25" s="40" t="s">
        <v>324</v>
      </c>
      <c r="C25" s="324">
        <v>4128282</v>
      </c>
      <c r="D25" s="313">
        <v>0</v>
      </c>
      <c r="E25" s="15">
        <v>0</v>
      </c>
      <c r="F25" s="330">
        <f t="shared" si="0"/>
        <v>4128282</v>
      </c>
      <c r="G25" s="339">
        <v>0.1</v>
      </c>
      <c r="H25" s="313">
        <v>3745328</v>
      </c>
      <c r="I25" s="313">
        <f>ROUND((F25-H25)*G25,0)/2</f>
        <v>19147.5</v>
      </c>
      <c r="J25" s="313">
        <v>0</v>
      </c>
      <c r="K25" s="330">
        <f t="shared" si="2"/>
        <v>3764475.5</v>
      </c>
      <c r="L25" s="127">
        <f>1900720-190072</f>
        <v>1710648</v>
      </c>
      <c r="M25" s="15"/>
      <c r="N25" s="330">
        <f>F25-K25+L25-M25</f>
        <v>2074454.5</v>
      </c>
    </row>
    <row r="26" spans="2:14" ht="12.75">
      <c r="B26" s="321" t="s">
        <v>335</v>
      </c>
      <c r="C26" s="331">
        <f>SUM(C24:C25)</f>
        <v>4469882</v>
      </c>
      <c r="D26" s="315">
        <f>SUM(D24:D25)</f>
        <v>0</v>
      </c>
      <c r="E26" s="314">
        <f>SUM(E24:E25)</f>
        <v>0</v>
      </c>
      <c r="F26" s="332">
        <f>SUM(F24:F25)</f>
        <v>4469882</v>
      </c>
      <c r="G26" s="340"/>
      <c r="H26" s="315">
        <v>4064859</v>
      </c>
      <c r="I26" s="315">
        <f aca="true" t="shared" si="5" ref="I26:N26">SUM(I24:I25)</f>
        <v>20251</v>
      </c>
      <c r="J26" s="315">
        <f t="shared" si="5"/>
        <v>0</v>
      </c>
      <c r="K26" s="332">
        <f>SUM(K24:K25)</f>
        <v>4085110</v>
      </c>
      <c r="L26" s="345">
        <f t="shared" si="5"/>
        <v>2029079</v>
      </c>
      <c r="M26" s="314"/>
      <c r="N26" s="332">
        <f t="shared" si="5"/>
        <v>2413851</v>
      </c>
    </row>
    <row r="27" spans="2:14" ht="12.75">
      <c r="B27" s="319" t="s">
        <v>337</v>
      </c>
      <c r="C27" s="324"/>
      <c r="D27" s="313"/>
      <c r="E27" s="15"/>
      <c r="F27" s="330"/>
      <c r="G27" s="85"/>
      <c r="H27" s="313"/>
      <c r="I27" s="313"/>
      <c r="J27" s="313"/>
      <c r="K27" s="330"/>
      <c r="L27" s="127"/>
      <c r="M27" s="15"/>
      <c r="N27" s="330"/>
    </row>
    <row r="28" spans="2:14" ht="12.75">
      <c r="B28" s="320" t="s">
        <v>321</v>
      </c>
      <c r="C28" s="324">
        <v>212350</v>
      </c>
      <c r="D28" s="313">
        <v>0</v>
      </c>
      <c r="E28" s="15">
        <v>0</v>
      </c>
      <c r="F28" s="330">
        <f t="shared" si="0"/>
        <v>212350</v>
      </c>
      <c r="G28" s="339">
        <v>0.1</v>
      </c>
      <c r="H28" s="313">
        <v>195412</v>
      </c>
      <c r="I28" s="313">
        <f>ROUND((F28-H28)*G28,0)/2</f>
        <v>847</v>
      </c>
      <c r="J28" s="313">
        <v>0</v>
      </c>
      <c r="K28" s="330">
        <f t="shared" si="2"/>
        <v>196259</v>
      </c>
      <c r="L28" s="127">
        <f>271535-27154</f>
        <v>244381</v>
      </c>
      <c r="M28" s="15"/>
      <c r="N28" s="330">
        <f>F28-K28+L28-M28</f>
        <v>260472</v>
      </c>
    </row>
    <row r="29" spans="2:14" ht="12.75">
      <c r="B29" s="40" t="s">
        <v>324</v>
      </c>
      <c r="C29" s="324">
        <v>20130875</v>
      </c>
      <c r="D29" s="313">
        <v>0</v>
      </c>
      <c r="E29" s="15">
        <v>0</v>
      </c>
      <c r="F29" s="330">
        <f t="shared" si="0"/>
        <v>20130875</v>
      </c>
      <c r="G29" s="339">
        <v>0.1</v>
      </c>
      <c r="H29" s="313">
        <v>18499776</v>
      </c>
      <c r="I29" s="313">
        <f>ROUND((F29-H29)*G29,0)/2</f>
        <v>81555</v>
      </c>
      <c r="J29" s="313">
        <v>0</v>
      </c>
      <c r="K29" s="330">
        <f t="shared" si="2"/>
        <v>18581331</v>
      </c>
      <c r="L29" s="127">
        <f>8296485-829649</f>
        <v>7466836</v>
      </c>
      <c r="M29" s="15"/>
      <c r="N29" s="330">
        <f>F29-K29+L29-M29</f>
        <v>9016380</v>
      </c>
    </row>
    <row r="30" spans="2:14" ht="12.75">
      <c r="B30" s="321" t="s">
        <v>335</v>
      </c>
      <c r="C30" s="331">
        <f>SUM(C28:C29)</f>
        <v>20343225</v>
      </c>
      <c r="D30" s="315">
        <f>SUM(D28:D29)</f>
        <v>0</v>
      </c>
      <c r="E30" s="314">
        <f>SUM(E28:E29)</f>
        <v>0</v>
      </c>
      <c r="F30" s="332">
        <f>SUM(F28:F29)</f>
        <v>20343225</v>
      </c>
      <c r="G30" s="340"/>
      <c r="H30" s="315">
        <v>18695188</v>
      </c>
      <c r="I30" s="315">
        <f aca="true" t="shared" si="6" ref="I30:N30">SUM(I28:I29)</f>
        <v>82402</v>
      </c>
      <c r="J30" s="315">
        <f t="shared" si="6"/>
        <v>0</v>
      </c>
      <c r="K30" s="332">
        <f>SUM(K28:K29)</f>
        <v>18777590</v>
      </c>
      <c r="L30" s="345">
        <f t="shared" si="6"/>
        <v>7711217</v>
      </c>
      <c r="M30" s="314"/>
      <c r="N30" s="332">
        <f t="shared" si="6"/>
        <v>9276852</v>
      </c>
    </row>
    <row r="31" spans="2:14" ht="12.75">
      <c r="B31" s="319" t="s">
        <v>338</v>
      </c>
      <c r="C31" s="324"/>
      <c r="D31" s="313"/>
      <c r="E31" s="15"/>
      <c r="F31" s="330"/>
      <c r="G31" s="85"/>
      <c r="H31" s="313"/>
      <c r="I31" s="313"/>
      <c r="J31" s="313"/>
      <c r="K31" s="330"/>
      <c r="L31" s="127"/>
      <c r="M31" s="15"/>
      <c r="N31" s="330"/>
    </row>
    <row r="32" spans="2:14" ht="12.75">
      <c r="B32" s="40" t="s">
        <v>320</v>
      </c>
      <c r="C32" s="127">
        <v>1912360</v>
      </c>
      <c r="D32" s="313">
        <v>0</v>
      </c>
      <c r="E32" s="15">
        <v>0</v>
      </c>
      <c r="F32" s="330">
        <f t="shared" si="0"/>
        <v>1912360</v>
      </c>
      <c r="G32" s="324">
        <v>0</v>
      </c>
      <c r="H32" s="313">
        <v>0</v>
      </c>
      <c r="I32" s="313">
        <v>0</v>
      </c>
      <c r="J32" s="313">
        <v>0</v>
      </c>
      <c r="K32" s="330">
        <f t="shared" si="2"/>
        <v>0</v>
      </c>
      <c r="L32" s="127">
        <v>8391195</v>
      </c>
      <c r="M32" s="15"/>
      <c r="N32" s="330">
        <f aca="true" t="shared" si="7" ref="N32:N40">F32-K32+L32-M32</f>
        <v>10303555</v>
      </c>
    </row>
    <row r="33" spans="2:14" ht="12.75">
      <c r="B33" s="320" t="s">
        <v>321</v>
      </c>
      <c r="C33" s="127">
        <v>936153</v>
      </c>
      <c r="D33" s="313">
        <v>0</v>
      </c>
      <c r="E33" s="15">
        <v>0</v>
      </c>
      <c r="F33" s="330">
        <f t="shared" si="0"/>
        <v>936153</v>
      </c>
      <c r="G33" s="339">
        <v>0.1</v>
      </c>
      <c r="H33" s="313">
        <v>706830</v>
      </c>
      <c r="I33" s="313">
        <f aca="true" t="shared" si="8" ref="I33:I40">ROUND((F33-H33)*G33,0)/2</f>
        <v>11466</v>
      </c>
      <c r="J33" s="313">
        <v>0</v>
      </c>
      <c r="K33" s="330">
        <f t="shared" si="2"/>
        <v>718296</v>
      </c>
      <c r="L33" s="127">
        <f>1232716-123272</f>
        <v>1109444</v>
      </c>
      <c r="M33" s="15"/>
      <c r="N33" s="330">
        <f t="shared" si="7"/>
        <v>1327301</v>
      </c>
    </row>
    <row r="34" spans="2:14" ht="12.75">
      <c r="B34" s="40" t="s">
        <v>325</v>
      </c>
      <c r="C34" s="127">
        <v>416206</v>
      </c>
      <c r="D34" s="313">
        <v>0</v>
      </c>
      <c r="E34" s="15">
        <v>0</v>
      </c>
      <c r="F34" s="330">
        <f t="shared" si="0"/>
        <v>416206</v>
      </c>
      <c r="G34" s="339">
        <v>0.1</v>
      </c>
      <c r="H34" s="313">
        <v>238803</v>
      </c>
      <c r="I34" s="313">
        <f t="shared" si="8"/>
        <v>8870</v>
      </c>
      <c r="J34" s="313">
        <v>0</v>
      </c>
      <c r="K34" s="330">
        <f t="shared" si="2"/>
        <v>247673</v>
      </c>
      <c r="L34" s="127">
        <v>0</v>
      </c>
      <c r="M34" s="15"/>
      <c r="N34" s="330">
        <f t="shared" si="7"/>
        <v>168533</v>
      </c>
    </row>
    <row r="35" spans="2:14" ht="12.75">
      <c r="B35" s="40" t="s">
        <v>326</v>
      </c>
      <c r="C35" s="127">
        <v>5358</v>
      </c>
      <c r="D35" s="313">
        <v>0</v>
      </c>
      <c r="E35" s="15">
        <v>0</v>
      </c>
      <c r="F35" s="330">
        <f t="shared" si="0"/>
        <v>5358</v>
      </c>
      <c r="G35" s="339">
        <v>0.1</v>
      </c>
      <c r="H35" s="313">
        <v>4634</v>
      </c>
      <c r="I35" s="313">
        <f t="shared" si="8"/>
        <v>36</v>
      </c>
      <c r="J35" s="313">
        <v>0</v>
      </c>
      <c r="K35" s="330">
        <f t="shared" si="2"/>
        <v>4670</v>
      </c>
      <c r="L35" s="127">
        <v>0</v>
      </c>
      <c r="M35" s="15"/>
      <c r="N35" s="330">
        <f t="shared" si="7"/>
        <v>688</v>
      </c>
    </row>
    <row r="36" spans="2:14" ht="12.75">
      <c r="B36" s="40" t="s">
        <v>327</v>
      </c>
      <c r="C36" s="127">
        <v>1554900</v>
      </c>
      <c r="D36" s="313">
        <v>0</v>
      </c>
      <c r="E36" s="15">
        <v>0</v>
      </c>
      <c r="F36" s="330">
        <f t="shared" si="0"/>
        <v>1554900</v>
      </c>
      <c r="G36" s="339">
        <v>0.15</v>
      </c>
      <c r="H36" s="313">
        <v>1235442</v>
      </c>
      <c r="I36" s="313">
        <f t="shared" si="8"/>
        <v>23959.5</v>
      </c>
      <c r="J36" s="313">
        <v>0</v>
      </c>
      <c r="K36" s="330">
        <f t="shared" si="2"/>
        <v>1259401.5</v>
      </c>
      <c r="L36" s="127">
        <v>0</v>
      </c>
      <c r="M36" s="15"/>
      <c r="N36" s="330">
        <f t="shared" si="7"/>
        <v>295498.5</v>
      </c>
    </row>
    <row r="37" spans="2:14" ht="12.75">
      <c r="B37" s="40" t="s">
        <v>339</v>
      </c>
      <c r="C37" s="127">
        <v>4458510</v>
      </c>
      <c r="D37" s="313">
        <v>0</v>
      </c>
      <c r="E37" s="15">
        <v>0</v>
      </c>
      <c r="F37" s="330">
        <f t="shared" si="0"/>
        <v>4458510</v>
      </c>
      <c r="G37" s="339">
        <v>0.15</v>
      </c>
      <c r="H37" s="313">
        <v>2303077</v>
      </c>
      <c r="I37" s="313">
        <f t="shared" si="8"/>
        <v>161657.5</v>
      </c>
      <c r="J37" s="313">
        <v>0</v>
      </c>
      <c r="K37" s="330">
        <f t="shared" si="2"/>
        <v>2464734.5</v>
      </c>
      <c r="L37" s="127">
        <v>0</v>
      </c>
      <c r="M37" s="15"/>
      <c r="N37" s="330">
        <f t="shared" si="7"/>
        <v>1993775.5</v>
      </c>
    </row>
    <row r="38" spans="2:14" ht="12.75">
      <c r="B38" s="40" t="s">
        <v>323</v>
      </c>
      <c r="C38" s="127">
        <v>607800</v>
      </c>
      <c r="D38" s="313">
        <v>0</v>
      </c>
      <c r="E38" s="15">
        <v>0</v>
      </c>
      <c r="F38" s="330">
        <f t="shared" si="0"/>
        <v>607800</v>
      </c>
      <c r="G38" s="339">
        <v>0.15</v>
      </c>
      <c r="H38" s="313">
        <v>582614</v>
      </c>
      <c r="I38" s="313">
        <f t="shared" si="8"/>
        <v>1889</v>
      </c>
      <c r="J38" s="313">
        <v>0</v>
      </c>
      <c r="K38" s="330">
        <f t="shared" si="2"/>
        <v>584503</v>
      </c>
      <c r="L38" s="127">
        <v>0</v>
      </c>
      <c r="M38" s="15"/>
      <c r="N38" s="330">
        <f t="shared" si="7"/>
        <v>23297</v>
      </c>
    </row>
    <row r="39" spans="2:14" ht="12.75">
      <c r="B39" s="40" t="s">
        <v>324</v>
      </c>
      <c r="C39" s="127">
        <v>22879498</v>
      </c>
      <c r="D39" s="313">
        <v>0</v>
      </c>
      <c r="E39" s="15">
        <v>0</v>
      </c>
      <c r="F39" s="330">
        <f t="shared" si="0"/>
        <v>22879498</v>
      </c>
      <c r="G39" s="339">
        <v>0.1</v>
      </c>
      <c r="H39" s="313">
        <v>12391965</v>
      </c>
      <c r="I39" s="313">
        <f t="shared" si="8"/>
        <v>524376.5</v>
      </c>
      <c r="J39" s="313">
        <v>0</v>
      </c>
      <c r="K39" s="330">
        <f t="shared" si="2"/>
        <v>12916341.5</v>
      </c>
      <c r="L39" s="127">
        <f>6069971-606997</f>
        <v>5462974</v>
      </c>
      <c r="M39" s="15"/>
      <c r="N39" s="330">
        <f t="shared" si="7"/>
        <v>15426130.5</v>
      </c>
    </row>
    <row r="40" spans="2:14" ht="12.75">
      <c r="B40" s="40" t="s">
        <v>333</v>
      </c>
      <c r="C40" s="127">
        <v>111405</v>
      </c>
      <c r="D40" s="313">
        <v>0</v>
      </c>
      <c r="E40" s="15">
        <v>0</v>
      </c>
      <c r="F40" s="330">
        <f t="shared" si="0"/>
        <v>111405</v>
      </c>
      <c r="G40" s="339">
        <v>0.2</v>
      </c>
      <c r="H40" s="313">
        <v>74059</v>
      </c>
      <c r="I40" s="313">
        <f t="shared" si="8"/>
        <v>3734.5</v>
      </c>
      <c r="J40" s="313">
        <v>0</v>
      </c>
      <c r="K40" s="330">
        <f t="shared" si="2"/>
        <v>77793.5</v>
      </c>
      <c r="L40" s="127">
        <v>0</v>
      </c>
      <c r="M40" s="15"/>
      <c r="N40" s="330">
        <f t="shared" si="7"/>
        <v>33611.5</v>
      </c>
    </row>
    <row r="41" spans="2:14" ht="12.75">
      <c r="B41" s="321" t="s">
        <v>335</v>
      </c>
      <c r="C41" s="331">
        <f>SUM(C32:C40)</f>
        <v>32882190</v>
      </c>
      <c r="D41" s="315">
        <f>SUM(D32:D40)</f>
        <v>0</v>
      </c>
      <c r="E41" s="314">
        <f>SUM(E32:E40)</f>
        <v>0</v>
      </c>
      <c r="F41" s="332">
        <f>SUM(F32:F40)</f>
        <v>32882190</v>
      </c>
      <c r="G41" s="340"/>
      <c r="H41" s="315">
        <v>17537424</v>
      </c>
      <c r="I41" s="315">
        <f aca="true" t="shared" si="9" ref="I41:N41">SUM(I32:I40)</f>
        <v>735989</v>
      </c>
      <c r="J41" s="315">
        <f t="shared" si="9"/>
        <v>0</v>
      </c>
      <c r="K41" s="332">
        <f>SUM(K32:K40)</f>
        <v>18273413</v>
      </c>
      <c r="L41" s="345">
        <f t="shared" si="9"/>
        <v>14963613</v>
      </c>
      <c r="M41" s="314"/>
      <c r="N41" s="332">
        <f t="shared" si="9"/>
        <v>29572390</v>
      </c>
    </row>
    <row r="42" spans="2:14" ht="12.75">
      <c r="B42" s="319" t="s">
        <v>340</v>
      </c>
      <c r="C42" s="324"/>
      <c r="D42" s="312"/>
      <c r="E42" s="15"/>
      <c r="F42" s="330"/>
      <c r="G42" s="85"/>
      <c r="H42" s="313"/>
      <c r="I42" s="313"/>
      <c r="J42" s="313"/>
      <c r="K42" s="330"/>
      <c r="L42" s="127"/>
      <c r="M42" s="15"/>
      <c r="N42" s="330"/>
    </row>
    <row r="43" spans="2:14" ht="12.75">
      <c r="B43" s="40" t="s">
        <v>320</v>
      </c>
      <c r="C43" s="127">
        <v>474806</v>
      </c>
      <c r="D43" s="313">
        <v>0</v>
      </c>
      <c r="E43" s="15">
        <v>0</v>
      </c>
      <c r="F43" s="330">
        <f t="shared" si="0"/>
        <v>474806</v>
      </c>
      <c r="G43" s="324">
        <v>0</v>
      </c>
      <c r="H43" s="313">
        <v>0</v>
      </c>
      <c r="I43" s="313">
        <v>0</v>
      </c>
      <c r="J43" s="313">
        <v>0</v>
      </c>
      <c r="K43" s="330">
        <f t="shared" si="2"/>
        <v>0</v>
      </c>
      <c r="L43" s="127">
        <v>0</v>
      </c>
      <c r="M43" s="15"/>
      <c r="N43" s="330">
        <f aca="true" t="shared" si="10" ref="N43:N55">F43-K43+L43-M43</f>
        <v>474806</v>
      </c>
    </row>
    <row r="44" spans="2:14" ht="12.75">
      <c r="B44" s="320" t="s">
        <v>321</v>
      </c>
      <c r="C44" s="127">
        <v>11301139</v>
      </c>
      <c r="D44" s="313">
        <v>0</v>
      </c>
      <c r="E44" s="15">
        <v>0</v>
      </c>
      <c r="F44" s="330">
        <f t="shared" si="0"/>
        <v>11301139</v>
      </c>
      <c r="G44" s="339">
        <v>0.1</v>
      </c>
      <c r="H44" s="313">
        <v>8786346</v>
      </c>
      <c r="I44" s="313">
        <f>ROUND((F44-H44)*G44,0)/2</f>
        <v>125739.5</v>
      </c>
      <c r="J44" s="313">
        <v>0</v>
      </c>
      <c r="K44" s="330">
        <f t="shared" si="2"/>
        <v>8912085.5</v>
      </c>
      <c r="L44" s="127">
        <v>0</v>
      </c>
      <c r="M44" s="15"/>
      <c r="N44" s="330">
        <f t="shared" si="10"/>
        <v>2389053.5</v>
      </c>
    </row>
    <row r="45" spans="2:14" ht="12.75">
      <c r="B45" s="40" t="s">
        <v>325</v>
      </c>
      <c r="C45" s="127">
        <v>555146</v>
      </c>
      <c r="D45" s="313">
        <v>0</v>
      </c>
      <c r="E45" s="15">
        <v>0</v>
      </c>
      <c r="F45" s="330">
        <f t="shared" si="0"/>
        <v>555146</v>
      </c>
      <c r="G45" s="339">
        <v>0.1</v>
      </c>
      <c r="H45" s="313">
        <v>404948</v>
      </c>
      <c r="I45" s="313">
        <f>ROUND((F45-H45)*G45,0)/2</f>
        <v>7510</v>
      </c>
      <c r="J45" s="313">
        <v>0</v>
      </c>
      <c r="K45" s="330">
        <f t="shared" si="2"/>
        <v>412458</v>
      </c>
      <c r="L45" s="127">
        <v>0</v>
      </c>
      <c r="M45" s="15"/>
      <c r="N45" s="330">
        <f t="shared" si="10"/>
        <v>142688</v>
      </c>
    </row>
    <row r="46" spans="2:14" ht="12.75">
      <c r="B46" s="40" t="s">
        <v>327</v>
      </c>
      <c r="C46" s="127">
        <v>2622758</v>
      </c>
      <c r="D46" s="313">
        <v>0</v>
      </c>
      <c r="E46" s="15">
        <v>0</v>
      </c>
      <c r="F46" s="330">
        <f t="shared" si="0"/>
        <v>2622758</v>
      </c>
      <c r="G46" s="339">
        <v>0.15</v>
      </c>
      <c r="H46" s="313">
        <v>2249031</v>
      </c>
      <c r="I46" s="313">
        <f>ROUND((F46-H46)*G46,0)/2</f>
        <v>28029.5</v>
      </c>
      <c r="J46" s="313">
        <v>0</v>
      </c>
      <c r="K46" s="330">
        <f t="shared" si="2"/>
        <v>2277060.5</v>
      </c>
      <c r="L46" s="127">
        <v>0</v>
      </c>
      <c r="M46" s="15"/>
      <c r="N46" s="330">
        <f t="shared" si="10"/>
        <v>345697.5</v>
      </c>
    </row>
    <row r="47" spans="2:14" ht="12.75">
      <c r="B47" s="40" t="s">
        <v>339</v>
      </c>
      <c r="C47" s="127">
        <v>2887025</v>
      </c>
      <c r="D47" s="313">
        <v>0</v>
      </c>
      <c r="E47" s="15">
        <v>0</v>
      </c>
      <c r="F47" s="330">
        <f t="shared" si="0"/>
        <v>2887025</v>
      </c>
      <c r="G47" s="339">
        <v>0.15</v>
      </c>
      <c r="H47" s="313">
        <v>2487259</v>
      </c>
      <c r="I47" s="313">
        <f>ROUND((F47-H47)*G47,0)/2</f>
        <v>29982.5</v>
      </c>
      <c r="J47" s="313">
        <v>0</v>
      </c>
      <c r="K47" s="330">
        <f t="shared" si="2"/>
        <v>2517241.5</v>
      </c>
      <c r="L47" s="127">
        <v>0</v>
      </c>
      <c r="M47" s="15"/>
      <c r="N47" s="330">
        <f t="shared" si="10"/>
        <v>369783.5</v>
      </c>
    </row>
    <row r="48" spans="2:14" ht="12.75">
      <c r="B48" s="40" t="s">
        <v>323</v>
      </c>
      <c r="C48" s="127">
        <v>2964061</v>
      </c>
      <c r="D48" s="313">
        <v>0</v>
      </c>
      <c r="E48" s="15">
        <v>0</v>
      </c>
      <c r="F48" s="330">
        <f t="shared" si="0"/>
        <v>2964061</v>
      </c>
      <c r="G48" s="339">
        <v>0.15</v>
      </c>
      <c r="H48" s="313">
        <v>2763210</v>
      </c>
      <c r="I48" s="313">
        <f>ROUND((F48-H48)*G48,0)/2</f>
        <v>15064</v>
      </c>
      <c r="J48" s="313">
        <v>0</v>
      </c>
      <c r="K48" s="330">
        <f t="shared" si="2"/>
        <v>2778274</v>
      </c>
      <c r="L48" s="127">
        <v>0</v>
      </c>
      <c r="M48" s="15"/>
      <c r="N48" s="330">
        <f t="shared" si="10"/>
        <v>185787</v>
      </c>
    </row>
    <row r="49" spans="2:14" ht="12.75">
      <c r="B49" s="40" t="s">
        <v>324</v>
      </c>
      <c r="C49" s="127">
        <v>106553807</v>
      </c>
      <c r="D49" s="313">
        <v>0</v>
      </c>
      <c r="E49" s="15">
        <v>0</v>
      </c>
      <c r="F49" s="330">
        <f t="shared" si="0"/>
        <v>106553807</v>
      </c>
      <c r="G49" s="339">
        <v>0.1</v>
      </c>
      <c r="H49" s="313">
        <v>83476591</v>
      </c>
      <c r="I49" s="313">
        <f>ROUND((F49-H49)*G49,0)/2+134307</f>
        <v>1288168</v>
      </c>
      <c r="J49" s="313">
        <v>0</v>
      </c>
      <c r="K49" s="330">
        <f t="shared" si="2"/>
        <v>84764759</v>
      </c>
      <c r="L49" s="127">
        <v>0</v>
      </c>
      <c r="M49" s="15"/>
      <c r="N49" s="330">
        <f t="shared" si="10"/>
        <v>21789048</v>
      </c>
    </row>
    <row r="50" spans="2:14" ht="12.75">
      <c r="B50" s="40" t="s">
        <v>333</v>
      </c>
      <c r="C50" s="127">
        <v>155847</v>
      </c>
      <c r="D50" s="313">
        <v>0</v>
      </c>
      <c r="E50" s="15">
        <v>0</v>
      </c>
      <c r="F50" s="330">
        <f t="shared" si="0"/>
        <v>155847</v>
      </c>
      <c r="G50" s="339">
        <v>0.2</v>
      </c>
      <c r="H50" s="313">
        <v>141430</v>
      </c>
      <c r="I50" s="313">
        <f aca="true" t="shared" si="11" ref="I50:I55">ROUND((F50-H50)*G50,0)/2</f>
        <v>1441.5</v>
      </c>
      <c r="J50" s="313">
        <v>0</v>
      </c>
      <c r="K50" s="330">
        <f t="shared" si="2"/>
        <v>142871.5</v>
      </c>
      <c r="L50" s="127">
        <v>0</v>
      </c>
      <c r="M50" s="15"/>
      <c r="N50" s="330">
        <f t="shared" si="10"/>
        <v>12975.5</v>
      </c>
    </row>
    <row r="51" spans="2:14" ht="12.75">
      <c r="B51" s="40" t="s">
        <v>330</v>
      </c>
      <c r="C51" s="127">
        <v>109265</v>
      </c>
      <c r="D51" s="313">
        <v>0</v>
      </c>
      <c r="E51" s="15">
        <v>0</v>
      </c>
      <c r="F51" s="330">
        <f t="shared" si="0"/>
        <v>109265</v>
      </c>
      <c r="G51" s="339">
        <v>0.15</v>
      </c>
      <c r="H51" s="313">
        <v>100514</v>
      </c>
      <c r="I51" s="313">
        <f t="shared" si="11"/>
        <v>656.5</v>
      </c>
      <c r="J51" s="313">
        <v>0</v>
      </c>
      <c r="K51" s="330">
        <f t="shared" si="2"/>
        <v>101170.5</v>
      </c>
      <c r="L51" s="127">
        <v>0</v>
      </c>
      <c r="M51" s="15"/>
      <c r="N51" s="330">
        <f t="shared" si="10"/>
        <v>8094.5</v>
      </c>
    </row>
    <row r="52" spans="2:14" ht="12.75">
      <c r="B52" s="40" t="s">
        <v>328</v>
      </c>
      <c r="C52" s="127">
        <v>279301</v>
      </c>
      <c r="D52" s="313">
        <v>0</v>
      </c>
      <c r="E52" s="15">
        <v>0</v>
      </c>
      <c r="F52" s="330">
        <f t="shared" si="0"/>
        <v>279301</v>
      </c>
      <c r="G52" s="339">
        <v>0.15</v>
      </c>
      <c r="H52" s="313">
        <v>259552</v>
      </c>
      <c r="I52" s="313">
        <f t="shared" si="11"/>
        <v>1481</v>
      </c>
      <c r="J52" s="313">
        <v>0</v>
      </c>
      <c r="K52" s="330">
        <f t="shared" si="2"/>
        <v>261033</v>
      </c>
      <c r="L52" s="127">
        <v>0</v>
      </c>
      <c r="M52" s="15"/>
      <c r="N52" s="330">
        <f t="shared" si="10"/>
        <v>18268</v>
      </c>
    </row>
    <row r="53" spans="2:14" ht="12.75">
      <c r="B53" s="40" t="s">
        <v>329</v>
      </c>
      <c r="C53" s="127">
        <v>1350000</v>
      </c>
      <c r="D53" s="313">
        <v>0</v>
      </c>
      <c r="E53" s="15">
        <v>0</v>
      </c>
      <c r="F53" s="330">
        <f t="shared" si="0"/>
        <v>1350000</v>
      </c>
      <c r="G53" s="339">
        <v>0.2</v>
      </c>
      <c r="H53" s="313">
        <v>1296053</v>
      </c>
      <c r="I53" s="313">
        <f t="shared" si="11"/>
        <v>5394.5</v>
      </c>
      <c r="J53" s="313">
        <v>0</v>
      </c>
      <c r="K53" s="330">
        <f t="shared" si="2"/>
        <v>1301447.5</v>
      </c>
      <c r="L53" s="127">
        <v>0</v>
      </c>
      <c r="M53" s="15"/>
      <c r="N53" s="330">
        <f t="shared" si="10"/>
        <v>48552.5</v>
      </c>
    </row>
    <row r="54" spans="2:14" ht="12.75">
      <c r="B54" s="40" t="s">
        <v>341</v>
      </c>
      <c r="C54" s="127">
        <v>302398</v>
      </c>
      <c r="D54" s="313">
        <v>0</v>
      </c>
      <c r="E54" s="15">
        <v>0</v>
      </c>
      <c r="F54" s="330">
        <f t="shared" si="0"/>
        <v>302398</v>
      </c>
      <c r="G54" s="339">
        <v>0.1</v>
      </c>
      <c r="H54" s="313">
        <v>249631</v>
      </c>
      <c r="I54" s="313">
        <f t="shared" si="11"/>
        <v>2638.5</v>
      </c>
      <c r="J54" s="313">
        <v>0</v>
      </c>
      <c r="K54" s="330">
        <f t="shared" si="2"/>
        <v>252269.5</v>
      </c>
      <c r="L54" s="127">
        <v>0</v>
      </c>
      <c r="M54" s="15"/>
      <c r="N54" s="330">
        <f t="shared" si="10"/>
        <v>50128.5</v>
      </c>
    </row>
    <row r="55" spans="2:14" ht="12.75">
      <c r="B55" s="40" t="s">
        <v>322</v>
      </c>
      <c r="C55" s="127">
        <v>493106</v>
      </c>
      <c r="D55" s="316">
        <v>0</v>
      </c>
      <c r="E55" s="15">
        <v>0</v>
      </c>
      <c r="F55" s="330">
        <f t="shared" si="0"/>
        <v>493106</v>
      </c>
      <c r="G55" s="339">
        <v>0.1</v>
      </c>
      <c r="H55" s="313">
        <v>406170</v>
      </c>
      <c r="I55" s="313">
        <f t="shared" si="11"/>
        <v>4347</v>
      </c>
      <c r="J55" s="313">
        <v>0</v>
      </c>
      <c r="K55" s="330">
        <f t="shared" si="2"/>
        <v>410517</v>
      </c>
      <c r="L55" s="127">
        <v>0</v>
      </c>
      <c r="M55" s="15"/>
      <c r="N55" s="330">
        <f t="shared" si="10"/>
        <v>82589</v>
      </c>
    </row>
    <row r="56" spans="2:14" ht="12.75">
      <c r="B56" s="321" t="s">
        <v>335</v>
      </c>
      <c r="C56" s="331">
        <f>SUM(C43:C55)</f>
        <v>130048659</v>
      </c>
      <c r="D56" s="317">
        <f>SUM(D43:D55)</f>
        <v>0</v>
      </c>
      <c r="E56" s="314">
        <f>SUM(E43:E55)</f>
        <v>0</v>
      </c>
      <c r="F56" s="332">
        <f>SUM(F43:F55)</f>
        <v>130048659</v>
      </c>
      <c r="G56" s="340"/>
      <c r="H56" s="315">
        <v>102620735</v>
      </c>
      <c r="I56" s="315">
        <f aca="true" t="shared" si="12" ref="I56:N56">SUM(I43:I55)</f>
        <v>1510452.5</v>
      </c>
      <c r="J56" s="315">
        <f t="shared" si="12"/>
        <v>0</v>
      </c>
      <c r="K56" s="332">
        <f>SUM(K43:K55)</f>
        <v>104131187.5</v>
      </c>
      <c r="L56" s="345">
        <f t="shared" si="12"/>
        <v>0</v>
      </c>
      <c r="M56" s="314"/>
      <c r="N56" s="332">
        <f t="shared" si="12"/>
        <v>25917471.5</v>
      </c>
    </row>
    <row r="57" spans="2:14" ht="12.75">
      <c r="B57" s="319" t="s">
        <v>342</v>
      </c>
      <c r="C57" s="324"/>
      <c r="D57" s="313"/>
      <c r="E57" s="15"/>
      <c r="F57" s="330"/>
      <c r="G57" s="85"/>
      <c r="H57" s="313"/>
      <c r="I57" s="313"/>
      <c r="J57" s="313"/>
      <c r="K57" s="330"/>
      <c r="L57" s="127"/>
      <c r="M57" s="15"/>
      <c r="N57" s="330"/>
    </row>
    <row r="58" spans="2:14" ht="12.75">
      <c r="B58" s="40" t="s">
        <v>320</v>
      </c>
      <c r="C58" s="127">
        <v>13855</v>
      </c>
      <c r="D58" s="313">
        <v>0</v>
      </c>
      <c r="E58" s="15">
        <v>0</v>
      </c>
      <c r="F58" s="330">
        <f t="shared" si="0"/>
        <v>13855</v>
      </c>
      <c r="G58" s="324">
        <v>0</v>
      </c>
      <c r="H58" s="313">
        <v>0</v>
      </c>
      <c r="I58" s="313">
        <v>0</v>
      </c>
      <c r="J58" s="313">
        <v>0</v>
      </c>
      <c r="K58" s="330">
        <f t="shared" si="2"/>
        <v>0</v>
      </c>
      <c r="L58" s="127">
        <v>0</v>
      </c>
      <c r="M58" s="15"/>
      <c r="N58" s="330">
        <f aca="true" t="shared" si="13" ref="N58:N68">F58-K58+L58-M58</f>
        <v>13855</v>
      </c>
    </row>
    <row r="59" spans="2:14" ht="12.75">
      <c r="B59" s="320" t="s">
        <v>321</v>
      </c>
      <c r="C59" s="127">
        <v>407869</v>
      </c>
      <c r="D59" s="313">
        <v>0</v>
      </c>
      <c r="E59" s="15">
        <v>0</v>
      </c>
      <c r="F59" s="330">
        <f t="shared" si="0"/>
        <v>407869</v>
      </c>
      <c r="G59" s="339">
        <v>0.1</v>
      </c>
      <c r="H59" s="313">
        <v>300848</v>
      </c>
      <c r="I59" s="313">
        <f aca="true" t="shared" si="14" ref="I59:I68">ROUND((F59-H59)*G59,0)/2</f>
        <v>5351</v>
      </c>
      <c r="J59" s="313">
        <v>0</v>
      </c>
      <c r="K59" s="330">
        <f t="shared" si="2"/>
        <v>306199</v>
      </c>
      <c r="L59" s="127">
        <v>0</v>
      </c>
      <c r="M59" s="15"/>
      <c r="N59" s="330">
        <f t="shared" si="13"/>
        <v>101670</v>
      </c>
    </row>
    <row r="60" spans="2:14" ht="12.75">
      <c r="B60" s="40" t="s">
        <v>327</v>
      </c>
      <c r="C60" s="127">
        <v>1046247</v>
      </c>
      <c r="D60" s="313">
        <v>0</v>
      </c>
      <c r="E60" s="15">
        <v>0</v>
      </c>
      <c r="F60" s="330">
        <f t="shared" si="0"/>
        <v>1046247</v>
      </c>
      <c r="G60" s="339">
        <v>0.15</v>
      </c>
      <c r="H60" s="313">
        <v>930496</v>
      </c>
      <c r="I60" s="313">
        <f t="shared" si="14"/>
        <v>8681.5</v>
      </c>
      <c r="J60" s="313">
        <v>0</v>
      </c>
      <c r="K60" s="330">
        <f t="shared" si="2"/>
        <v>939177.5</v>
      </c>
      <c r="L60" s="127">
        <v>0</v>
      </c>
      <c r="M60" s="15"/>
      <c r="N60" s="330">
        <f t="shared" si="13"/>
        <v>107069.5</v>
      </c>
    </row>
    <row r="61" spans="2:14" ht="12.75">
      <c r="B61" s="40" t="s">
        <v>339</v>
      </c>
      <c r="C61" s="127">
        <v>8306486</v>
      </c>
      <c r="D61" s="313">
        <v>0</v>
      </c>
      <c r="E61" s="15">
        <v>0</v>
      </c>
      <c r="F61" s="330">
        <f t="shared" si="0"/>
        <v>8306486</v>
      </c>
      <c r="G61" s="339">
        <v>0.15</v>
      </c>
      <c r="H61" s="313">
        <v>7633586</v>
      </c>
      <c r="I61" s="313">
        <f t="shared" si="14"/>
        <v>50467.5</v>
      </c>
      <c r="J61" s="313">
        <v>0</v>
      </c>
      <c r="K61" s="330">
        <f t="shared" si="2"/>
        <v>7684053.5</v>
      </c>
      <c r="L61" s="127">
        <v>0</v>
      </c>
      <c r="M61" s="15"/>
      <c r="N61" s="330">
        <f t="shared" si="13"/>
        <v>622432.5</v>
      </c>
    </row>
    <row r="62" spans="2:14" ht="12.75">
      <c r="B62" s="40" t="s">
        <v>325</v>
      </c>
      <c r="C62" s="127">
        <v>149972</v>
      </c>
      <c r="D62" s="313">
        <v>0</v>
      </c>
      <c r="E62" s="15">
        <v>0</v>
      </c>
      <c r="F62" s="330">
        <f t="shared" si="0"/>
        <v>149972</v>
      </c>
      <c r="G62" s="339">
        <v>0.1</v>
      </c>
      <c r="H62" s="313">
        <v>106684</v>
      </c>
      <c r="I62" s="313">
        <f t="shared" si="14"/>
        <v>2164.5</v>
      </c>
      <c r="J62" s="313">
        <v>0</v>
      </c>
      <c r="K62" s="330">
        <f t="shared" si="2"/>
        <v>108848.5</v>
      </c>
      <c r="L62" s="127">
        <v>0</v>
      </c>
      <c r="M62" s="15"/>
      <c r="N62" s="330">
        <f t="shared" si="13"/>
        <v>41123.5</v>
      </c>
    </row>
    <row r="63" spans="2:14" ht="12.75">
      <c r="B63" s="40" t="s">
        <v>323</v>
      </c>
      <c r="C63" s="127">
        <v>90500</v>
      </c>
      <c r="D63" s="313">
        <v>0</v>
      </c>
      <c r="E63" s="15">
        <v>0</v>
      </c>
      <c r="F63" s="330">
        <f t="shared" si="0"/>
        <v>90500</v>
      </c>
      <c r="G63" s="339">
        <v>0.15</v>
      </c>
      <c r="H63" s="313">
        <v>82595</v>
      </c>
      <c r="I63" s="313">
        <f t="shared" si="14"/>
        <v>593</v>
      </c>
      <c r="J63" s="313">
        <v>0</v>
      </c>
      <c r="K63" s="330">
        <f t="shared" si="2"/>
        <v>83188</v>
      </c>
      <c r="L63" s="127">
        <v>0</v>
      </c>
      <c r="M63" s="15"/>
      <c r="N63" s="330">
        <f t="shared" si="13"/>
        <v>7312</v>
      </c>
    </row>
    <row r="64" spans="2:14" ht="12.75">
      <c r="B64" s="40" t="s">
        <v>324</v>
      </c>
      <c r="C64" s="127">
        <v>30374104</v>
      </c>
      <c r="D64" s="313">
        <v>0</v>
      </c>
      <c r="E64" s="15">
        <v>0</v>
      </c>
      <c r="F64" s="330">
        <f t="shared" si="0"/>
        <v>30374104</v>
      </c>
      <c r="G64" s="339">
        <v>0.1</v>
      </c>
      <c r="H64" s="313">
        <v>24120347</v>
      </c>
      <c r="I64" s="313">
        <f t="shared" si="14"/>
        <v>312688</v>
      </c>
      <c r="J64" s="313">
        <v>0</v>
      </c>
      <c r="K64" s="330">
        <f t="shared" si="2"/>
        <v>24433035</v>
      </c>
      <c r="L64" s="127">
        <v>0</v>
      </c>
      <c r="M64" s="15"/>
      <c r="N64" s="330">
        <f t="shared" si="13"/>
        <v>5941069</v>
      </c>
    </row>
    <row r="65" spans="2:14" ht="12.75">
      <c r="B65" s="40" t="s">
        <v>333</v>
      </c>
      <c r="C65" s="127">
        <v>29107</v>
      </c>
      <c r="D65" s="313">
        <v>0</v>
      </c>
      <c r="E65" s="15">
        <v>0</v>
      </c>
      <c r="F65" s="330">
        <f t="shared" si="0"/>
        <v>29107</v>
      </c>
      <c r="G65" s="339">
        <v>0.2</v>
      </c>
      <c r="H65" s="313">
        <v>27396</v>
      </c>
      <c r="I65" s="313">
        <f t="shared" si="14"/>
        <v>171</v>
      </c>
      <c r="J65" s="313">
        <v>0</v>
      </c>
      <c r="K65" s="330">
        <f t="shared" si="2"/>
        <v>27567</v>
      </c>
      <c r="L65" s="127">
        <v>0</v>
      </c>
      <c r="M65" s="15"/>
      <c r="N65" s="330">
        <f t="shared" si="13"/>
        <v>1540</v>
      </c>
    </row>
    <row r="66" spans="2:14" ht="12.75">
      <c r="B66" s="40" t="s">
        <v>328</v>
      </c>
      <c r="C66" s="127">
        <v>12407</v>
      </c>
      <c r="D66" s="313">
        <v>0</v>
      </c>
      <c r="E66" s="15">
        <v>0</v>
      </c>
      <c r="F66" s="330">
        <f t="shared" si="0"/>
        <v>12407</v>
      </c>
      <c r="G66" s="339">
        <v>0.15</v>
      </c>
      <c r="H66" s="313">
        <v>10613</v>
      </c>
      <c r="I66" s="313">
        <f t="shared" si="14"/>
        <v>134.5</v>
      </c>
      <c r="J66" s="313">
        <v>0</v>
      </c>
      <c r="K66" s="330">
        <f t="shared" si="2"/>
        <v>10747.5</v>
      </c>
      <c r="L66" s="127">
        <v>0</v>
      </c>
      <c r="M66" s="15"/>
      <c r="N66" s="330">
        <f t="shared" si="13"/>
        <v>1659.5</v>
      </c>
    </row>
    <row r="67" spans="2:14" ht="12.75">
      <c r="B67" s="40" t="s">
        <v>329</v>
      </c>
      <c r="C67" s="127">
        <v>513037</v>
      </c>
      <c r="D67" s="313">
        <v>0</v>
      </c>
      <c r="E67" s="15">
        <v>0</v>
      </c>
      <c r="F67" s="330">
        <f t="shared" si="0"/>
        <v>513037</v>
      </c>
      <c r="G67" s="339">
        <v>0.2</v>
      </c>
      <c r="H67" s="313">
        <v>494987</v>
      </c>
      <c r="I67" s="313">
        <f t="shared" si="14"/>
        <v>1805</v>
      </c>
      <c r="J67" s="313">
        <v>0</v>
      </c>
      <c r="K67" s="330">
        <f t="shared" si="2"/>
        <v>496792</v>
      </c>
      <c r="L67" s="127">
        <v>0</v>
      </c>
      <c r="M67" s="15"/>
      <c r="N67" s="330">
        <f t="shared" si="13"/>
        <v>16245</v>
      </c>
    </row>
    <row r="68" spans="2:14" ht="12.75">
      <c r="B68" s="40" t="s">
        <v>322</v>
      </c>
      <c r="C68" s="127">
        <v>3520</v>
      </c>
      <c r="D68" s="313">
        <v>0</v>
      </c>
      <c r="E68" s="15">
        <v>0</v>
      </c>
      <c r="F68" s="330">
        <f t="shared" si="0"/>
        <v>3520</v>
      </c>
      <c r="G68" s="339">
        <v>0.1</v>
      </c>
      <c r="H68" s="313">
        <v>2796</v>
      </c>
      <c r="I68" s="313">
        <f t="shared" si="14"/>
        <v>36</v>
      </c>
      <c r="J68" s="313">
        <v>0</v>
      </c>
      <c r="K68" s="330">
        <f t="shared" si="2"/>
        <v>2832</v>
      </c>
      <c r="L68" s="127">
        <v>0</v>
      </c>
      <c r="M68" s="15"/>
      <c r="N68" s="330">
        <f t="shared" si="13"/>
        <v>688</v>
      </c>
    </row>
    <row r="69" spans="2:14" ht="12.75">
      <c r="B69" s="321" t="s">
        <v>335</v>
      </c>
      <c r="C69" s="331">
        <f>SUM(C58:C68)</f>
        <v>40947104</v>
      </c>
      <c r="D69" s="315">
        <f>SUM(D58:D68)</f>
        <v>0</v>
      </c>
      <c r="E69" s="314">
        <f>SUM(E58:E68)</f>
        <v>0</v>
      </c>
      <c r="F69" s="332">
        <f>SUM(F58:F68)</f>
        <v>40947104</v>
      </c>
      <c r="G69" s="340"/>
      <c r="H69" s="315">
        <v>33710348</v>
      </c>
      <c r="I69" s="315">
        <f>SUM(I58:I68)</f>
        <v>382092</v>
      </c>
      <c r="J69" s="315">
        <f>SUM(J58:J68)</f>
        <v>0</v>
      </c>
      <c r="K69" s="332">
        <f>SUM(K58:K68)</f>
        <v>34092440</v>
      </c>
      <c r="L69" s="345">
        <f>SUM(L58:L68)</f>
        <v>0</v>
      </c>
      <c r="M69" s="314"/>
      <c r="N69" s="332">
        <f>SUM(N58:N68)</f>
        <v>6854664</v>
      </c>
    </row>
    <row r="70" spans="2:14" ht="13.5" thickBot="1">
      <c r="B70" s="321" t="s">
        <v>25</v>
      </c>
      <c r="C70" s="333">
        <f>C22+C26+C30+C41+C56+C69</f>
        <v>270186619</v>
      </c>
      <c r="D70" s="334">
        <f>D22+D26+D30+D41+D56+D69</f>
        <v>0</v>
      </c>
      <c r="E70" s="335">
        <f>E22+E26+E30+E41+E56+E69</f>
        <v>0</v>
      </c>
      <c r="F70" s="336">
        <f>F22+F26+F30+F41+F56+F69</f>
        <v>270186619</v>
      </c>
      <c r="G70" s="341"/>
      <c r="H70" s="334">
        <v>210451791</v>
      </c>
      <c r="I70" s="334">
        <f>I22+I26+I30+I41+I56+I69</f>
        <v>3072666</v>
      </c>
      <c r="J70" s="334">
        <f>J22+J26+J30+J41+J56+J69</f>
        <v>0</v>
      </c>
      <c r="K70" s="336">
        <f>K22+K26+K30+K41+K56+K69</f>
        <v>213524457</v>
      </c>
      <c r="L70" s="346">
        <f>L22+L26+L30+L41+L56+L69</f>
        <v>41780584</v>
      </c>
      <c r="M70" s="334"/>
      <c r="N70" s="347">
        <f>F70-K70+L70-M70</f>
        <v>98442746</v>
      </c>
    </row>
    <row r="71" spans="3:9" ht="12.75">
      <c r="C71" s="12"/>
      <c r="D71" s="12"/>
      <c r="E71" s="12"/>
      <c r="F71" s="12"/>
      <c r="I71" s="16"/>
    </row>
    <row r="72" spans="12:14" ht="12.75">
      <c r="L72" s="16"/>
      <c r="N72" s="16">
        <f>N70-'BS'!F10</f>
        <v>0</v>
      </c>
    </row>
  </sheetData>
  <mergeCells count="2">
    <mergeCell ref="C3:F3"/>
    <mergeCell ref="G3:K3"/>
  </mergeCells>
  <printOptions/>
  <pageMargins left="0.17" right="0.25" top="0.36" bottom="1" header="0.17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D4" sqref="D4:D61"/>
    </sheetView>
  </sheetViews>
  <sheetFormatPr defaultColWidth="9.140625" defaultRowHeight="12.75"/>
  <cols>
    <col min="1" max="1" width="4.7109375" style="6" customWidth="1"/>
    <col min="2" max="2" width="33.7109375" style="13" customWidth="1"/>
    <col min="3" max="3" width="1.7109375" style="13" customWidth="1"/>
    <col min="4" max="4" width="12.7109375" style="13" customWidth="1"/>
    <col min="5" max="5" width="1.7109375" style="13" hidden="1" customWidth="1"/>
    <col min="6" max="6" width="12.57421875" style="13" customWidth="1"/>
    <col min="7" max="8" width="9.140625" style="13" customWidth="1"/>
    <col min="9" max="9" width="12.57421875" style="13" customWidth="1"/>
    <col min="10" max="16384" width="9.140625" style="13" customWidth="1"/>
  </cols>
  <sheetData>
    <row r="1" spans="1:2" ht="12.75">
      <c r="A1" s="21" t="s">
        <v>173</v>
      </c>
      <c r="B1" s="8" t="s">
        <v>277</v>
      </c>
    </row>
    <row r="3" ht="12.75">
      <c r="B3" s="13" t="s">
        <v>59</v>
      </c>
    </row>
    <row r="4" spans="3:6" ht="12.75">
      <c r="C4" s="4"/>
      <c r="D4" s="4">
        <v>2015</v>
      </c>
      <c r="E4" s="4">
        <v>2011</v>
      </c>
      <c r="F4" s="4">
        <v>2014</v>
      </c>
    </row>
    <row r="5" spans="2:6" ht="12.75">
      <c r="B5" s="13" t="s">
        <v>155</v>
      </c>
      <c r="C5" s="31"/>
      <c r="D5" s="31">
        <v>18360031</v>
      </c>
      <c r="E5" s="31">
        <v>21360031</v>
      </c>
      <c r="F5" s="31">
        <v>18360031</v>
      </c>
    </row>
    <row r="6" spans="2:6" ht="13.5" customHeight="1" hidden="1">
      <c r="B6" s="13" t="s">
        <v>156</v>
      </c>
      <c r="C6" s="31"/>
      <c r="D6" s="12">
        <v>0</v>
      </c>
      <c r="E6" s="31"/>
      <c r="F6" s="31">
        <v>0</v>
      </c>
    </row>
    <row r="7" spans="2:6" ht="13.5" thickBot="1">
      <c r="B7" s="6" t="s">
        <v>188</v>
      </c>
      <c r="C7" s="31"/>
      <c r="D7" s="54">
        <v>18360031</v>
      </c>
      <c r="E7" s="54">
        <f>E5</f>
        <v>21360031</v>
      </c>
      <c r="F7" s="54">
        <v>18360031</v>
      </c>
    </row>
    <row r="8" spans="1:2" ht="13.5" thickTop="1">
      <c r="A8" s="21" t="s">
        <v>202</v>
      </c>
      <c r="B8" s="8" t="s">
        <v>276</v>
      </c>
    </row>
    <row r="10" ht="12.75">
      <c r="B10" s="13" t="s">
        <v>59</v>
      </c>
    </row>
    <row r="11" spans="3:6" ht="12.75">
      <c r="C11" s="4"/>
      <c r="D11" s="4">
        <v>2015</v>
      </c>
      <c r="E11" s="4">
        <v>2011</v>
      </c>
      <c r="F11" s="4">
        <v>2014</v>
      </c>
    </row>
    <row r="12" spans="2:6" ht="12.75">
      <c r="B12" s="13" t="s">
        <v>170</v>
      </c>
      <c r="C12" s="31"/>
      <c r="D12" s="12">
        <v>46661637</v>
      </c>
      <c r="E12" s="31"/>
      <c r="F12" s="31">
        <v>49970279</v>
      </c>
    </row>
    <row r="13" spans="2:6" ht="13.5" customHeight="1">
      <c r="B13" s="13" t="s">
        <v>171</v>
      </c>
      <c r="C13" s="31"/>
      <c r="D13" s="12">
        <v>58025088</v>
      </c>
      <c r="E13" s="31"/>
      <c r="F13" s="31">
        <v>62608320</v>
      </c>
    </row>
    <row r="14" spans="2:6" ht="12.75">
      <c r="B14" s="13" t="s">
        <v>172</v>
      </c>
      <c r="C14" s="31"/>
      <c r="D14" s="12">
        <v>2232048</v>
      </c>
      <c r="E14" s="31"/>
      <c r="F14" s="31">
        <v>2579447</v>
      </c>
    </row>
    <row r="15" spans="2:6" ht="13.5" thickBot="1">
      <c r="B15" s="6" t="s">
        <v>188</v>
      </c>
      <c r="C15" s="31"/>
      <c r="D15" s="54">
        <v>106918773</v>
      </c>
      <c r="E15" s="54">
        <f>E12+E13+E14</f>
        <v>0</v>
      </c>
      <c r="F15" s="54">
        <v>115158046</v>
      </c>
    </row>
    <row r="16" ht="13.5" thickTop="1">
      <c r="B16" s="19"/>
    </row>
    <row r="17" spans="1:2" ht="12.75">
      <c r="A17" s="21" t="s">
        <v>12</v>
      </c>
      <c r="B17" s="8" t="s">
        <v>275</v>
      </c>
    </row>
    <row r="18" ht="12.75">
      <c r="B18" s="13" t="s">
        <v>64</v>
      </c>
    </row>
    <row r="20" spans="3:6" ht="12.75">
      <c r="C20" s="4"/>
      <c r="D20" s="4">
        <v>2015</v>
      </c>
      <c r="E20" s="4">
        <v>2011</v>
      </c>
      <c r="F20" s="4">
        <v>2014</v>
      </c>
    </row>
    <row r="21" spans="3:6" ht="12.75">
      <c r="C21" s="31"/>
      <c r="D21" s="12">
        <v>100667810</v>
      </c>
      <c r="E21" s="31"/>
      <c r="F21" s="31">
        <v>108287068</v>
      </c>
    </row>
    <row r="22" spans="3:6" ht="12.75" hidden="1">
      <c r="C22" s="31"/>
      <c r="D22" s="12">
        <v>0</v>
      </c>
      <c r="E22" s="31"/>
      <c r="F22" s="31">
        <v>0</v>
      </c>
    </row>
    <row r="23" spans="2:6" ht="13.5" thickBot="1">
      <c r="B23" s="6" t="s">
        <v>188</v>
      </c>
      <c r="C23" s="31"/>
      <c r="D23" s="54">
        <v>100667810</v>
      </c>
      <c r="E23" s="54">
        <f>E21</f>
        <v>0</v>
      </c>
      <c r="F23" s="54">
        <v>108287068</v>
      </c>
    </row>
    <row r="24" ht="13.5" thickTop="1"/>
    <row r="25" spans="1:2" ht="12.75">
      <c r="A25" s="21" t="s">
        <v>63</v>
      </c>
      <c r="B25" s="8" t="s">
        <v>274</v>
      </c>
    </row>
    <row r="27" ht="12.75">
      <c r="B27" s="13" t="s">
        <v>60</v>
      </c>
    </row>
    <row r="28" spans="3:6" ht="12.75">
      <c r="C28" s="4"/>
      <c r="D28" s="4">
        <v>2015</v>
      </c>
      <c r="E28" s="4">
        <v>2011</v>
      </c>
      <c r="F28" s="4">
        <v>2014</v>
      </c>
    </row>
    <row r="29" spans="2:6" ht="12.75">
      <c r="B29" s="8" t="s">
        <v>66</v>
      </c>
      <c r="D29" s="30"/>
      <c r="F29" s="30"/>
    </row>
    <row r="30" spans="2:6" ht="12.75">
      <c r="B30" s="13" t="s">
        <v>67</v>
      </c>
      <c r="C30" s="31"/>
      <c r="D30" s="12">
        <v>2556659</v>
      </c>
      <c r="E30" s="31"/>
      <c r="F30" s="31">
        <v>862039</v>
      </c>
    </row>
    <row r="31" spans="2:6" ht="12.75">
      <c r="B31" s="13" t="s">
        <v>68</v>
      </c>
      <c r="C31" s="31"/>
      <c r="D31" s="12">
        <v>1238328</v>
      </c>
      <c r="E31" s="31"/>
      <c r="F31" s="31">
        <v>1416923</v>
      </c>
    </row>
    <row r="32" spans="2:6" ht="12.75">
      <c r="B32" s="13" t="s">
        <v>69</v>
      </c>
      <c r="C32" s="31"/>
      <c r="D32" s="12">
        <v>9073123</v>
      </c>
      <c r="E32" s="12">
        <v>13154224</v>
      </c>
      <c r="F32" s="12">
        <v>9073123</v>
      </c>
    </row>
    <row r="33" spans="3:6" ht="12.75">
      <c r="C33" s="31"/>
      <c r="D33" s="57">
        <v>12868110</v>
      </c>
      <c r="E33" s="57">
        <f>SUM(E30:E32)</f>
        <v>13154224</v>
      </c>
      <c r="F33" s="57">
        <v>11352085</v>
      </c>
    </row>
    <row r="34" spans="2:6" ht="12.75">
      <c r="B34" s="8" t="s">
        <v>70</v>
      </c>
      <c r="C34" s="31"/>
      <c r="D34" s="31"/>
      <c r="E34" s="31"/>
      <c r="F34" s="31"/>
    </row>
    <row r="35" spans="2:6" ht="12.75">
      <c r="B35" s="13" t="s">
        <v>71</v>
      </c>
      <c r="C35" s="31"/>
      <c r="D35" s="12">
        <v>452070</v>
      </c>
      <c r="E35" s="12">
        <v>452070</v>
      </c>
      <c r="F35" s="12">
        <v>452070</v>
      </c>
    </row>
    <row r="36" spans="2:6" ht="12.75">
      <c r="B36" s="13" t="s">
        <v>145</v>
      </c>
      <c r="C36" s="31"/>
      <c r="D36" s="31">
        <v>459754</v>
      </c>
      <c r="E36" s="31"/>
      <c r="F36" s="31">
        <v>459754</v>
      </c>
    </row>
    <row r="37" spans="2:6" ht="12.75">
      <c r="B37" s="13" t="s">
        <v>72</v>
      </c>
      <c r="C37" s="31"/>
      <c r="D37" s="31">
        <v>395600</v>
      </c>
      <c r="E37" s="31"/>
      <c r="F37" s="31">
        <v>395600</v>
      </c>
    </row>
    <row r="38" spans="2:6" ht="12.75">
      <c r="B38" s="13" t="s">
        <v>282</v>
      </c>
      <c r="C38" s="31"/>
      <c r="D38" s="12">
        <v>12068197</v>
      </c>
      <c r="E38" s="31"/>
      <c r="F38" s="31">
        <v>15175512</v>
      </c>
    </row>
    <row r="39" spans="4:6" ht="12.75">
      <c r="D39" s="57">
        <v>13375621</v>
      </c>
      <c r="E39" s="57">
        <f>SUM(E35:E38)</f>
        <v>452070</v>
      </c>
      <c r="F39" s="57">
        <v>16482936</v>
      </c>
    </row>
    <row r="40" spans="2:6" ht="13.5" thickBot="1">
      <c r="B40" s="6" t="s">
        <v>188</v>
      </c>
      <c r="D40" s="73">
        <v>26243731</v>
      </c>
      <c r="E40" s="73">
        <f>E33+E39</f>
        <v>13606294</v>
      </c>
      <c r="F40" s="73">
        <v>27835021</v>
      </c>
    </row>
    <row r="41" ht="13.5" thickTop="1"/>
    <row r="42" spans="1:2" ht="12.75">
      <c r="A42" s="21" t="s">
        <v>65</v>
      </c>
      <c r="B42" s="8" t="s">
        <v>273</v>
      </c>
    </row>
    <row r="44" ht="12.75">
      <c r="B44" s="13" t="s">
        <v>59</v>
      </c>
    </row>
    <row r="46" spans="3:6" ht="12.75">
      <c r="C46" s="4"/>
      <c r="D46" s="4">
        <v>2015</v>
      </c>
      <c r="E46" s="4">
        <v>2011</v>
      </c>
      <c r="F46" s="4">
        <v>2014</v>
      </c>
    </row>
    <row r="47" spans="2:6" ht="12.75">
      <c r="B47" s="8" t="s">
        <v>73</v>
      </c>
      <c r="C47" s="31"/>
      <c r="D47" s="31"/>
      <c r="E47" s="31"/>
      <c r="F47" s="31"/>
    </row>
    <row r="48" spans="2:6" ht="12.75">
      <c r="B48" s="13" t="s">
        <v>74</v>
      </c>
      <c r="C48" s="31"/>
      <c r="D48" s="12">
        <v>1186931</v>
      </c>
      <c r="E48" s="31"/>
      <c r="F48" s="31">
        <v>500028</v>
      </c>
    </row>
    <row r="49" spans="2:6" ht="12.75">
      <c r="B49" s="13" t="s">
        <v>61</v>
      </c>
      <c r="C49" s="31"/>
      <c r="D49" s="12">
        <v>214179</v>
      </c>
      <c r="E49" s="31"/>
      <c r="F49" s="31">
        <v>264077</v>
      </c>
    </row>
    <row r="50" spans="3:6" ht="12.75">
      <c r="C50" s="31"/>
      <c r="D50" s="57">
        <v>1401110</v>
      </c>
      <c r="E50" s="57">
        <f>SUM(E48:E49)</f>
        <v>0</v>
      </c>
      <c r="F50" s="57">
        <v>764105</v>
      </c>
    </row>
    <row r="51" spans="2:6" ht="12.75">
      <c r="B51" s="8" t="s">
        <v>75</v>
      </c>
      <c r="C51" s="31"/>
      <c r="D51" s="31"/>
      <c r="E51" s="31"/>
      <c r="F51" s="31"/>
    </row>
    <row r="52" spans="2:6" ht="12.75">
      <c r="B52" s="13" t="s">
        <v>62</v>
      </c>
      <c r="C52" s="31"/>
      <c r="D52" s="12">
        <v>7629</v>
      </c>
      <c r="E52" s="31"/>
      <c r="F52" s="31">
        <v>30148</v>
      </c>
    </row>
    <row r="53" spans="2:6" ht="12.75">
      <c r="B53" s="13" t="s">
        <v>125</v>
      </c>
      <c r="C53" s="31"/>
      <c r="D53" s="12">
        <v>7559</v>
      </c>
      <c r="E53" s="31"/>
      <c r="F53" s="31">
        <v>405992</v>
      </c>
    </row>
    <row r="54" spans="2:6" ht="12.75">
      <c r="B54" s="13" t="s">
        <v>126</v>
      </c>
      <c r="C54" s="31"/>
      <c r="D54" s="12">
        <v>2775</v>
      </c>
      <c r="E54" s="12">
        <v>6225</v>
      </c>
      <c r="F54" s="12">
        <v>2775</v>
      </c>
    </row>
    <row r="55" spans="2:6" ht="12.75">
      <c r="B55" s="13" t="s">
        <v>127</v>
      </c>
      <c r="C55" s="31"/>
      <c r="D55" s="12">
        <v>6017</v>
      </c>
      <c r="E55" s="31"/>
      <c r="F55" s="31">
        <v>1265525</v>
      </c>
    </row>
    <row r="56" spans="2:6" ht="12.75">
      <c r="B56" s="13" t="s">
        <v>128</v>
      </c>
      <c r="C56" s="31"/>
      <c r="D56" s="12">
        <v>17687</v>
      </c>
      <c r="E56" s="31"/>
      <c r="F56" s="31">
        <v>221169</v>
      </c>
    </row>
    <row r="57" spans="2:6" ht="12.75">
      <c r="B57" s="13" t="s">
        <v>129</v>
      </c>
      <c r="C57" s="31"/>
      <c r="D57" s="12">
        <v>7074</v>
      </c>
      <c r="E57" s="31"/>
      <c r="F57" s="31">
        <v>7074</v>
      </c>
    </row>
    <row r="58" spans="2:6" ht="12.75">
      <c r="B58" s="13" t="s">
        <v>130</v>
      </c>
      <c r="C58" s="31"/>
      <c r="D58" s="12">
        <v>23279</v>
      </c>
      <c r="E58" s="31"/>
      <c r="F58" s="31">
        <v>23279</v>
      </c>
    </row>
    <row r="59" spans="2:6" ht="12.75">
      <c r="B59" s="13" t="s">
        <v>131</v>
      </c>
      <c r="C59" s="31"/>
      <c r="D59" s="12">
        <v>31900</v>
      </c>
      <c r="E59" s="31"/>
      <c r="F59" s="31">
        <v>306841</v>
      </c>
    </row>
    <row r="60" spans="3:6" ht="12.75">
      <c r="C60" s="31"/>
      <c r="D60" s="57">
        <v>103920</v>
      </c>
      <c r="E60" s="57">
        <f>SUM(E52:E59)</f>
        <v>6225</v>
      </c>
      <c r="F60" s="57">
        <v>2262803</v>
      </c>
    </row>
    <row r="61" spans="2:6" ht="13.5" thickBot="1">
      <c r="B61" s="6" t="s">
        <v>188</v>
      </c>
      <c r="C61" s="31"/>
      <c r="D61" s="54">
        <v>1505030</v>
      </c>
      <c r="E61" s="54">
        <f>E50+E60</f>
        <v>6225</v>
      </c>
      <c r="F61" s="54">
        <v>3026908</v>
      </c>
    </row>
    <row r="62" spans="3:6" ht="13.5" thickTop="1">
      <c r="C62" s="31"/>
      <c r="D62" s="31"/>
      <c r="E62" s="31"/>
      <c r="F62" s="31"/>
    </row>
  </sheetData>
  <sheetProtection/>
  <printOptions horizontalCentered="1"/>
  <pageMargins left="0.19" right="0.5" top="0.16" bottom="0.56" header="0.34" footer="0.3"/>
  <pageSetup firstPageNumber="16" useFirstPageNumber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7109375" style="6" customWidth="1"/>
    <col min="2" max="2" width="18.7109375" style="0" customWidth="1"/>
    <col min="3" max="3" width="9.7109375" style="0" customWidth="1"/>
    <col min="4" max="5" width="10.7109375" style="0" customWidth="1"/>
    <col min="6" max="6" width="9.7109375" style="0" customWidth="1"/>
    <col min="7" max="8" width="11.7109375" style="0" customWidth="1"/>
  </cols>
  <sheetData>
    <row r="1" spans="1:2" ht="12.75">
      <c r="A1" s="21" t="s">
        <v>278</v>
      </c>
      <c r="B1" s="1" t="s">
        <v>76</v>
      </c>
    </row>
    <row r="3" spans="7:8" ht="12.75">
      <c r="G3" s="4">
        <v>2015</v>
      </c>
      <c r="H3" s="4">
        <v>2014</v>
      </c>
    </row>
    <row r="4" ht="12.75">
      <c r="B4" s="1" t="s">
        <v>3</v>
      </c>
    </row>
    <row r="5" ht="12.75">
      <c r="B5" s="1"/>
    </row>
    <row r="6" spans="2:8" ht="12.75">
      <c r="B6" s="7" t="s">
        <v>189</v>
      </c>
      <c r="G6" s="26">
        <v>500000000</v>
      </c>
      <c r="H6" s="26">
        <v>500000000</v>
      </c>
    </row>
    <row r="8" ht="12.75">
      <c r="B8" s="1" t="s">
        <v>43</v>
      </c>
    </row>
    <row r="9" ht="12.75">
      <c r="B9" s="1"/>
    </row>
    <row r="10" spans="2:8" ht="12.75">
      <c r="B10" s="7" t="s">
        <v>191</v>
      </c>
      <c r="G10" s="25">
        <v>48500000</v>
      </c>
      <c r="H10" s="25">
        <v>48500000</v>
      </c>
    </row>
    <row r="12" ht="12.75">
      <c r="B12" s="1" t="s">
        <v>190</v>
      </c>
    </row>
    <row r="13" spans="4:8" ht="12.75">
      <c r="D13" s="379">
        <v>2015</v>
      </c>
      <c r="E13" s="379"/>
      <c r="G13" s="379">
        <v>2014</v>
      </c>
      <c r="H13" s="379"/>
    </row>
    <row r="14" spans="4:8" ht="12.75">
      <c r="D14" s="6" t="s">
        <v>4</v>
      </c>
      <c r="E14" s="4" t="s">
        <v>5</v>
      </c>
      <c r="G14" s="6" t="s">
        <v>4</v>
      </c>
      <c r="H14" s="4" t="s">
        <v>5</v>
      </c>
    </row>
    <row r="15" spans="2:8" ht="12.75">
      <c r="B15" s="33" t="s">
        <v>78</v>
      </c>
      <c r="D15" s="5">
        <v>1950523</v>
      </c>
      <c r="E15" s="28">
        <f>D15/D19*100</f>
        <v>40.21696907216495</v>
      </c>
      <c r="G15" s="5">
        <v>1950523</v>
      </c>
      <c r="H15" s="285">
        <v>40.22</v>
      </c>
    </row>
    <row r="16" spans="2:8" ht="12.75">
      <c r="B16" s="33" t="s">
        <v>32</v>
      </c>
      <c r="D16" s="5">
        <v>2597765</v>
      </c>
      <c r="E16" s="28">
        <f>D16/D19*100</f>
        <v>53.562164948453606</v>
      </c>
      <c r="G16" s="5">
        <v>2539979</v>
      </c>
      <c r="H16" s="285">
        <v>52.37</v>
      </c>
    </row>
    <row r="17" spans="2:8" ht="12.75">
      <c r="B17" s="33" t="s">
        <v>79</v>
      </c>
      <c r="D17" s="5">
        <v>142022</v>
      </c>
      <c r="E17" s="28">
        <f>D17/D19*100</f>
        <v>2.9282886597938145</v>
      </c>
      <c r="G17" s="5">
        <v>194548</v>
      </c>
      <c r="H17" s="285">
        <v>4.01</v>
      </c>
    </row>
    <row r="18" spans="2:8" ht="12.75">
      <c r="B18" t="s">
        <v>80</v>
      </c>
      <c r="D18" s="5">
        <v>159690</v>
      </c>
      <c r="E18" s="28">
        <f>D18/D19*100</f>
        <v>3.2925773195876284</v>
      </c>
      <c r="G18" s="5">
        <v>164950</v>
      </c>
      <c r="H18" s="285">
        <v>3.4</v>
      </c>
    </row>
    <row r="19" spans="2:8" ht="13.5" thickBot="1">
      <c r="B19" t="s">
        <v>25</v>
      </c>
      <c r="D19" s="10">
        <f>SUM(D15:D18)</f>
        <v>4850000</v>
      </c>
      <c r="E19" s="24">
        <f>SUM(E15:E18)</f>
        <v>100</v>
      </c>
      <c r="G19" s="10">
        <f>SUM(G15:G18)</f>
        <v>4850000</v>
      </c>
      <c r="H19" s="54">
        <f>SUM(H15:H18)</f>
        <v>100.00000000000001</v>
      </c>
    </row>
    <row r="20" ht="13.5" thickTop="1"/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</sheetData>
  <sheetProtection/>
  <mergeCells count="2">
    <mergeCell ref="D13:E13"/>
    <mergeCell ref="G13:H13"/>
  </mergeCells>
  <printOptions horizontalCentered="1"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7.00390625" style="279" customWidth="1"/>
    <col min="2" max="2" width="33.7109375" style="13" customWidth="1"/>
    <col min="3" max="3" width="1.7109375" style="13" customWidth="1"/>
    <col min="4" max="4" width="12.7109375" style="13" customWidth="1"/>
    <col min="5" max="5" width="1.7109375" style="13" hidden="1" customWidth="1"/>
    <col min="6" max="6" width="19.140625" style="13" customWidth="1"/>
    <col min="7" max="8" width="9.140625" style="13" customWidth="1"/>
    <col min="9" max="9" width="14.00390625" style="13" customWidth="1"/>
    <col min="10" max="11" width="9.140625" style="13" customWidth="1"/>
    <col min="12" max="12" width="12.7109375" style="13" customWidth="1"/>
    <col min="13" max="16384" width="9.140625" style="13" customWidth="1"/>
  </cols>
  <sheetData>
    <row r="1" spans="1:2" ht="12.75">
      <c r="A1" s="278">
        <v>7</v>
      </c>
      <c r="B1" s="8" t="s">
        <v>83</v>
      </c>
    </row>
    <row r="3" spans="1:2" ht="12.75">
      <c r="A3" s="278">
        <v>8</v>
      </c>
      <c r="B3" s="8" t="s">
        <v>272</v>
      </c>
    </row>
    <row r="5" ht="12.75">
      <c r="B5" s="13" t="s">
        <v>64</v>
      </c>
    </row>
    <row r="6" spans="3:6" ht="12.75">
      <c r="C6" s="4"/>
      <c r="D6" s="4">
        <v>2015</v>
      </c>
      <c r="E6" s="4">
        <v>2010</v>
      </c>
      <c r="F6" s="4">
        <v>2014</v>
      </c>
    </row>
    <row r="7" spans="3:6" ht="12.75">
      <c r="C7" s="4"/>
      <c r="D7" s="4"/>
      <c r="E7" s="4"/>
      <c r="F7" s="4"/>
    </row>
    <row r="8" spans="2:6" ht="12.75">
      <c r="B8" s="13" t="s">
        <v>184</v>
      </c>
      <c r="C8" s="31"/>
      <c r="D8" s="276">
        <v>41780584</v>
      </c>
      <c r="E8" s="276">
        <v>52409109</v>
      </c>
      <c r="F8" s="276">
        <v>41780584</v>
      </c>
    </row>
    <row r="9" spans="2:6" ht="12.75">
      <c r="B9" s="13" t="s">
        <v>185</v>
      </c>
      <c r="C9" s="31"/>
      <c r="D9" s="276">
        <v>23016918</v>
      </c>
      <c r="E9" s="276"/>
      <c r="F9" s="276">
        <v>23016918</v>
      </c>
    </row>
    <row r="10" spans="2:6" ht="12.75">
      <c r="B10" s="13" t="s">
        <v>81</v>
      </c>
      <c r="C10" s="31"/>
      <c r="D10" s="276">
        <v>280000</v>
      </c>
      <c r="E10" s="276"/>
      <c r="F10" s="276">
        <v>280000</v>
      </c>
    </row>
    <row r="11" spans="2:6" ht="12.75">
      <c r="B11" s="13" t="s">
        <v>82</v>
      </c>
      <c r="C11" s="31"/>
      <c r="D11" s="276">
        <v>575000</v>
      </c>
      <c r="E11" s="276"/>
      <c r="F11" s="276">
        <v>575000</v>
      </c>
    </row>
    <row r="12" spans="2:6" ht="13.5" thickBot="1">
      <c r="B12" s="6" t="s">
        <v>77</v>
      </c>
      <c r="C12" s="31"/>
      <c r="D12" s="277">
        <v>65652502</v>
      </c>
      <c r="E12" s="277">
        <f>E8+E9+E10+E11</f>
        <v>52409109</v>
      </c>
      <c r="F12" s="277">
        <v>65652502</v>
      </c>
    </row>
    <row r="13" spans="3:6" ht="13.5" thickTop="1">
      <c r="C13" s="31"/>
      <c r="D13" s="34"/>
      <c r="E13" s="31"/>
      <c r="F13" s="34"/>
    </row>
    <row r="14" spans="1:2" ht="12.75">
      <c r="A14" s="280" t="s">
        <v>279</v>
      </c>
      <c r="B14" s="8" t="s">
        <v>271</v>
      </c>
    </row>
    <row r="15" spans="1:2" ht="12.75">
      <c r="A15" s="281"/>
      <c r="B15" s="8"/>
    </row>
    <row r="16" spans="1:6" ht="12.75">
      <c r="A16" s="281"/>
      <c r="C16" s="4"/>
      <c r="D16" s="4">
        <v>2015</v>
      </c>
      <c r="E16" s="4">
        <v>2010</v>
      </c>
      <c r="F16" s="4">
        <v>2014</v>
      </c>
    </row>
    <row r="17" spans="1:6" ht="12.75">
      <c r="A17" s="281"/>
      <c r="C17" s="4"/>
      <c r="D17" s="4"/>
      <c r="E17" s="4"/>
      <c r="F17" s="4"/>
    </row>
    <row r="18" spans="1:6" ht="12.75">
      <c r="A18" s="281"/>
      <c r="B18" s="13" t="s">
        <v>58</v>
      </c>
      <c r="C18" s="31"/>
      <c r="D18" s="31">
        <v>41780584</v>
      </c>
      <c r="E18" s="31">
        <v>52409109</v>
      </c>
      <c r="F18" s="31">
        <v>41780584</v>
      </c>
    </row>
    <row r="19" spans="1:6" ht="12.75">
      <c r="A19" s="281"/>
      <c r="C19" s="31"/>
      <c r="D19" s="12">
        <v>0</v>
      </c>
      <c r="E19" s="31"/>
      <c r="F19" s="31">
        <v>0</v>
      </c>
    </row>
    <row r="20" spans="1:6" ht="13.5" thickBot="1">
      <c r="A20" s="281"/>
      <c r="B20" s="6" t="s">
        <v>77</v>
      </c>
      <c r="C20" s="31"/>
      <c r="D20" s="54">
        <v>41780584</v>
      </c>
      <c r="E20" s="45"/>
      <c r="F20" s="54">
        <v>41780584</v>
      </c>
    </row>
    <row r="21" spans="1:6" ht="13.5" thickTop="1">
      <c r="A21" s="281"/>
      <c r="C21" s="31"/>
      <c r="D21" s="34"/>
      <c r="E21" s="31"/>
      <c r="F21" s="34"/>
    </row>
    <row r="22" spans="1:2" ht="12.75">
      <c r="A22" s="280" t="s">
        <v>280</v>
      </c>
      <c r="B22" s="8" t="s">
        <v>84</v>
      </c>
    </row>
    <row r="24" spans="1:2" ht="12.75">
      <c r="A24" s="278" t="s">
        <v>281</v>
      </c>
      <c r="B24" s="8" t="s">
        <v>270</v>
      </c>
    </row>
    <row r="26" ht="12.75">
      <c r="B26" s="13" t="s">
        <v>64</v>
      </c>
    </row>
    <row r="27" spans="3:6" ht="12.75">
      <c r="C27" s="4"/>
      <c r="D27" s="4">
        <v>2015</v>
      </c>
      <c r="E27" s="4">
        <v>2010</v>
      </c>
      <c r="F27" s="4">
        <v>2014</v>
      </c>
    </row>
    <row r="28" spans="3:6" ht="12.75">
      <c r="C28" s="4"/>
      <c r="D28" s="4"/>
      <c r="E28" s="4"/>
      <c r="F28" s="4"/>
    </row>
    <row r="29" spans="2:6" ht="12.75">
      <c r="B29" s="13" t="s">
        <v>155</v>
      </c>
      <c r="C29" s="31"/>
      <c r="D29" s="34">
        <v>-467569550</v>
      </c>
      <c r="E29" s="31"/>
      <c r="F29" s="31">
        <v>-466432783</v>
      </c>
    </row>
    <row r="30" spans="2:6" ht="12.75">
      <c r="B30" s="13" t="s">
        <v>347</v>
      </c>
      <c r="C30" s="31"/>
      <c r="D30" s="12">
        <v>-5131887</v>
      </c>
      <c r="E30" s="31"/>
      <c r="F30" s="31">
        <v>-6391695</v>
      </c>
    </row>
    <row r="31" spans="2:6" ht="12.75">
      <c r="B31" s="13" t="s">
        <v>249</v>
      </c>
      <c r="C31" s="31"/>
      <c r="D31" s="12">
        <v>0</v>
      </c>
      <c r="E31" s="31"/>
      <c r="F31" s="31">
        <v>3123436</v>
      </c>
    </row>
    <row r="32" spans="2:6" ht="12.75">
      <c r="B32" s="13" t="s">
        <v>250</v>
      </c>
      <c r="C32" s="31"/>
      <c r="D32" s="12">
        <v>0</v>
      </c>
      <c r="E32" s="31"/>
      <c r="F32" s="31">
        <v>2131492</v>
      </c>
    </row>
    <row r="33" spans="2:6" ht="13.5" thickBot="1">
      <c r="B33" s="6" t="s">
        <v>77</v>
      </c>
      <c r="C33" s="31"/>
      <c r="D33" s="54">
        <v>-472701437</v>
      </c>
      <c r="E33" s="45"/>
      <c r="F33" s="54">
        <v>-467569550</v>
      </c>
    </row>
    <row r="34" spans="2:6" ht="13.5" thickTop="1">
      <c r="B34" s="6"/>
      <c r="C34" s="31"/>
      <c r="D34" s="268"/>
      <c r="E34" s="45"/>
      <c r="F34" s="268"/>
    </row>
    <row r="35" spans="1:6" ht="12.75">
      <c r="A35" s="279">
        <v>10</v>
      </c>
      <c r="B35" s="269" t="s">
        <v>269</v>
      </c>
      <c r="C35" s="31"/>
      <c r="D35" s="268">
        <v>2015</v>
      </c>
      <c r="E35" s="45"/>
      <c r="F35" s="268">
        <v>2014</v>
      </c>
    </row>
    <row r="36" spans="2:6" ht="12.75">
      <c r="B36" s="13" t="s">
        <v>64</v>
      </c>
      <c r="C36" s="31"/>
      <c r="D36" s="268"/>
      <c r="E36" s="45"/>
      <c r="F36" s="268"/>
    </row>
    <row r="37" spans="2:6" ht="12.75">
      <c r="B37" s="6"/>
      <c r="C37" s="31"/>
      <c r="D37" s="268"/>
      <c r="E37" s="45"/>
      <c r="F37" s="268"/>
    </row>
    <row r="38" spans="2:6" ht="12.75">
      <c r="B38" s="270" t="s">
        <v>246</v>
      </c>
      <c r="C38" s="31"/>
      <c r="D38" s="34">
        <v>50483838</v>
      </c>
      <c r="E38" s="45"/>
      <c r="F38" s="34">
        <v>57203838</v>
      </c>
    </row>
    <row r="39" spans="2:6" ht="12.75">
      <c r="B39" s="270" t="s">
        <v>247</v>
      </c>
      <c r="C39" s="31"/>
      <c r="D39" s="34">
        <v>57200000</v>
      </c>
      <c r="E39" s="45"/>
      <c r="F39" s="34">
        <v>57200000</v>
      </c>
    </row>
    <row r="40" spans="2:6" ht="15">
      <c r="B40" s="270" t="s">
        <v>248</v>
      </c>
      <c r="C40" s="31"/>
      <c r="D40" s="274">
        <v>44763620</v>
      </c>
      <c r="E40" s="275"/>
      <c r="F40" s="274">
        <v>44763620</v>
      </c>
    </row>
    <row r="41" spans="2:6" ht="15">
      <c r="B41" s="6"/>
      <c r="C41" s="31"/>
      <c r="D41" s="94">
        <v>152447458</v>
      </c>
      <c r="E41" s="94">
        <f>SUM(E38:E40)</f>
        <v>0</v>
      </c>
      <c r="F41" s="94">
        <v>159167458</v>
      </c>
    </row>
    <row r="42" spans="1:2" ht="12.75">
      <c r="A42" s="278"/>
      <c r="B42" s="8"/>
    </row>
    <row r="43" spans="1:2" ht="12.75">
      <c r="A43" s="278">
        <v>11</v>
      </c>
      <c r="B43" s="8" t="s">
        <v>268</v>
      </c>
    </row>
    <row r="44" spans="1:2" ht="12.75">
      <c r="A44" s="278"/>
      <c r="B44" s="8"/>
    </row>
    <row r="45" spans="1:6" ht="12.75">
      <c r="A45" s="278"/>
      <c r="B45" s="8" t="s">
        <v>245</v>
      </c>
      <c r="D45" s="13">
        <v>2015</v>
      </c>
      <c r="F45" s="13">
        <v>2014</v>
      </c>
    </row>
    <row r="46" spans="1:6" ht="12.75">
      <c r="A46" s="278"/>
      <c r="B46" s="8"/>
      <c r="D46" s="30">
        <v>29857236</v>
      </c>
      <c r="E46" s="30"/>
      <c r="F46" s="30">
        <v>29857236</v>
      </c>
    </row>
    <row r="47" spans="1:2" ht="12.75">
      <c r="A47" s="278"/>
      <c r="B47" s="8"/>
    </row>
    <row r="50" spans="1:2" ht="12.75">
      <c r="A50" s="278">
        <v>12</v>
      </c>
      <c r="B50" s="8" t="s">
        <v>165</v>
      </c>
    </row>
    <row r="52" spans="4:6" ht="12.75">
      <c r="D52" s="4">
        <v>2015</v>
      </c>
      <c r="E52" s="4">
        <v>2010</v>
      </c>
      <c r="F52" s="4">
        <v>2014</v>
      </c>
    </row>
    <row r="53" spans="2:6" ht="12.75">
      <c r="B53" s="13" t="s">
        <v>85</v>
      </c>
      <c r="D53" s="31">
        <v>174264454</v>
      </c>
      <c r="F53" s="31">
        <v>174264454</v>
      </c>
    </row>
    <row r="54" spans="2:6" ht="12.75">
      <c r="B54" s="13" t="s">
        <v>86</v>
      </c>
      <c r="D54" s="31">
        <v>69819803</v>
      </c>
      <c r="F54" s="31">
        <v>69819803</v>
      </c>
    </row>
    <row r="55" spans="2:6" ht="12.75">
      <c r="B55" s="13" t="s">
        <v>132</v>
      </c>
      <c r="D55" s="31">
        <v>115450768</v>
      </c>
      <c r="F55" s="31">
        <v>115450768</v>
      </c>
    </row>
    <row r="56" spans="2:6" ht="13.5" thickBot="1">
      <c r="B56" s="6" t="s">
        <v>77</v>
      </c>
      <c r="D56" s="54">
        <v>359535025</v>
      </c>
      <c r="E56" s="8"/>
      <c r="F56" s="54">
        <v>359535025</v>
      </c>
    </row>
    <row r="57" ht="13.5" thickTop="1"/>
    <row r="58" spans="1:9" ht="12.75">
      <c r="A58" s="278">
        <v>13</v>
      </c>
      <c r="B58" s="1" t="s">
        <v>267</v>
      </c>
      <c r="I58" s="13">
        <f>'BS'!F35</f>
        <v>51117002</v>
      </c>
    </row>
    <row r="60" ht="12.75">
      <c r="B60" s="13" t="s">
        <v>143</v>
      </c>
    </row>
    <row r="62" spans="1:2" ht="12.75">
      <c r="A62" s="278">
        <v>14</v>
      </c>
      <c r="B62" s="8" t="s">
        <v>266</v>
      </c>
    </row>
    <row r="64" ht="12.75">
      <c r="B64" s="13" t="s">
        <v>64</v>
      </c>
    </row>
    <row r="65" spans="3:6" ht="12.75">
      <c r="C65" s="4"/>
      <c r="D65" s="4">
        <v>2015</v>
      </c>
      <c r="E65" s="4">
        <v>2010</v>
      </c>
      <c r="F65" s="4">
        <v>2014</v>
      </c>
    </row>
    <row r="66" spans="3:6" ht="12.75">
      <c r="C66" s="4"/>
      <c r="D66" s="4"/>
      <c r="E66" s="4"/>
      <c r="F66" s="4"/>
    </row>
    <row r="67" spans="2:6" ht="12.75">
      <c r="B67" s="13" t="s">
        <v>87</v>
      </c>
      <c r="C67" s="31"/>
      <c r="D67" s="12">
        <v>295135</v>
      </c>
      <c r="E67" s="31"/>
      <c r="F67" s="31">
        <v>291586</v>
      </c>
    </row>
    <row r="68" spans="2:6" ht="12.75">
      <c r="B68" s="13" t="s">
        <v>133</v>
      </c>
      <c r="C68" s="31"/>
      <c r="D68" s="12">
        <v>28230</v>
      </c>
      <c r="E68" s="31"/>
      <c r="F68" s="31">
        <v>24776</v>
      </c>
    </row>
    <row r="69" spans="2:6" ht="12.75">
      <c r="B69" s="13" t="s">
        <v>134</v>
      </c>
      <c r="C69" s="31"/>
      <c r="D69" s="12">
        <v>1029750</v>
      </c>
      <c r="E69" s="31"/>
      <c r="F69" s="31">
        <v>1001813</v>
      </c>
    </row>
    <row r="70" spans="2:6" ht="12.75">
      <c r="B70" s="13" t="s">
        <v>88</v>
      </c>
      <c r="C70" s="31"/>
      <c r="D70" s="12">
        <v>25360</v>
      </c>
      <c r="E70" s="31"/>
      <c r="F70" s="31">
        <v>55923</v>
      </c>
    </row>
    <row r="71" spans="2:9" ht="12.75">
      <c r="B71" s="13" t="s">
        <v>89</v>
      </c>
      <c r="C71" s="31"/>
      <c r="D71" s="12">
        <v>13068</v>
      </c>
      <c r="E71" s="31"/>
      <c r="F71" s="31">
        <v>15568</v>
      </c>
      <c r="I71" s="31"/>
    </row>
    <row r="72" spans="2:9" ht="12.75">
      <c r="B72" s="13" t="s">
        <v>138</v>
      </c>
      <c r="C72" s="31"/>
      <c r="D72" s="12">
        <v>150250</v>
      </c>
      <c r="E72" s="31"/>
      <c r="F72" s="31">
        <v>193082</v>
      </c>
      <c r="I72" s="31"/>
    </row>
    <row r="73" spans="2:9" ht="12.75">
      <c r="B73" s="13" t="s">
        <v>105</v>
      </c>
      <c r="C73" s="31"/>
      <c r="D73" s="31">
        <v>0</v>
      </c>
      <c r="E73" s="31"/>
      <c r="F73" s="31">
        <v>95000</v>
      </c>
      <c r="I73" s="31"/>
    </row>
    <row r="74" spans="2:9" ht="12.75">
      <c r="B74" s="13" t="s">
        <v>90</v>
      </c>
      <c r="C74" s="31"/>
      <c r="D74" s="12">
        <v>332565</v>
      </c>
      <c r="E74" s="31"/>
      <c r="F74" s="12">
        <v>332565</v>
      </c>
      <c r="I74" s="12"/>
    </row>
    <row r="75" spans="2:9" ht="12.75">
      <c r="B75" s="13" t="s">
        <v>91</v>
      </c>
      <c r="C75" s="31"/>
      <c r="D75" s="12">
        <v>908723</v>
      </c>
      <c r="E75" s="31"/>
      <c r="F75" s="31">
        <v>1080248</v>
      </c>
      <c r="I75" s="31"/>
    </row>
    <row r="76" spans="2:6" ht="13.5" thickBot="1">
      <c r="B76" s="6" t="s">
        <v>77</v>
      </c>
      <c r="C76" s="31"/>
      <c r="D76" s="54">
        <v>2783081</v>
      </c>
      <c r="E76" s="54">
        <f>SUM(E67:E75)</f>
        <v>0</v>
      </c>
      <c r="F76" s="54">
        <v>3090561</v>
      </c>
    </row>
    <row r="77" spans="3:6" ht="13.5" thickTop="1">
      <c r="C77" s="31"/>
      <c r="D77" s="31"/>
      <c r="E77" s="31"/>
      <c r="F77" s="31"/>
    </row>
    <row r="79" spans="1:2" ht="12.75" hidden="1">
      <c r="A79" s="278">
        <v>14</v>
      </c>
      <c r="B79" s="8" t="s">
        <v>203</v>
      </c>
    </row>
    <row r="80" ht="12.75" hidden="1"/>
    <row r="81" ht="12.75" hidden="1">
      <c r="B81" s="13" t="s">
        <v>64</v>
      </c>
    </row>
    <row r="82" spans="3:6" ht="12.75" hidden="1">
      <c r="C82" s="4"/>
      <c r="D82" s="4">
        <v>2015</v>
      </c>
      <c r="E82" s="4"/>
      <c r="F82" s="4">
        <v>2014</v>
      </c>
    </row>
    <row r="83" spans="3:6" ht="12.75" hidden="1">
      <c r="C83" s="4"/>
      <c r="D83" s="4"/>
      <c r="E83" s="4"/>
      <c r="F83" s="4"/>
    </row>
    <row r="84" spans="2:6" ht="12.75" hidden="1">
      <c r="B84" s="13" t="s">
        <v>155</v>
      </c>
      <c r="C84" s="31"/>
      <c r="D84" s="12">
        <v>0</v>
      </c>
      <c r="E84" s="31"/>
      <c r="F84" s="31">
        <v>117655</v>
      </c>
    </row>
    <row r="85" spans="2:6" ht="12.75" hidden="1">
      <c r="B85" s="13" t="s">
        <v>163</v>
      </c>
      <c r="C85" s="31"/>
      <c r="D85" s="12">
        <v>0</v>
      </c>
      <c r="E85" s="31"/>
      <c r="F85" s="31">
        <v>-117655</v>
      </c>
    </row>
    <row r="86" spans="2:6" ht="12.75" hidden="1">
      <c r="B86" s="13" t="s">
        <v>164</v>
      </c>
      <c r="C86" s="31"/>
      <c r="D86" s="12">
        <v>0</v>
      </c>
      <c r="E86" s="31"/>
      <c r="F86" s="31">
        <v>0</v>
      </c>
    </row>
    <row r="87" spans="2:6" ht="13.5" hidden="1" thickBot="1">
      <c r="B87" s="6" t="s">
        <v>77</v>
      </c>
      <c r="C87" s="31"/>
      <c r="D87" s="54">
        <v>0</v>
      </c>
      <c r="E87" s="54">
        <f>SUM(E84:E86)</f>
        <v>0</v>
      </c>
      <c r="F87" s="54">
        <v>0</v>
      </c>
    </row>
    <row r="88" spans="1:2" ht="12.75">
      <c r="A88" s="278">
        <v>15</v>
      </c>
      <c r="B88" s="8" t="s">
        <v>265</v>
      </c>
    </row>
    <row r="90" ht="12.75">
      <c r="B90" s="13" t="s">
        <v>64</v>
      </c>
    </row>
    <row r="91" spans="3:6" ht="12.75">
      <c r="C91" s="4"/>
      <c r="D91" s="4">
        <v>2015</v>
      </c>
      <c r="E91" s="4"/>
      <c r="F91" s="4">
        <v>2014</v>
      </c>
    </row>
    <row r="92" spans="3:6" ht="12.75">
      <c r="C92" s="4"/>
      <c r="D92" s="4"/>
      <c r="E92" s="4"/>
      <c r="F92" s="4"/>
    </row>
    <row r="93" spans="2:6" ht="12.75">
      <c r="B93" s="13" t="s">
        <v>155</v>
      </c>
      <c r="C93" s="31"/>
      <c r="D93" s="12">
        <v>6149544</v>
      </c>
      <c r="E93" s="31"/>
      <c r="F93" s="31">
        <v>6149544</v>
      </c>
    </row>
    <row r="94" spans="2:6" ht="12.75">
      <c r="B94" s="13" t="s">
        <v>163</v>
      </c>
      <c r="C94" s="31"/>
      <c r="D94" s="12">
        <v>0</v>
      </c>
      <c r="E94" s="31"/>
      <c r="F94" s="31">
        <v>0</v>
      </c>
    </row>
    <row r="95" spans="2:6" ht="12.75">
      <c r="B95" s="13" t="s">
        <v>164</v>
      </c>
      <c r="C95" s="31"/>
      <c r="D95" s="12">
        <v>355260</v>
      </c>
      <c r="E95" s="31"/>
      <c r="F95" s="31">
        <v>0</v>
      </c>
    </row>
    <row r="96" spans="2:6" ht="13.5" thickBot="1">
      <c r="B96" s="6" t="s">
        <v>77</v>
      </c>
      <c r="C96" s="31"/>
      <c r="D96" s="54">
        <v>6504804</v>
      </c>
      <c r="E96" s="54">
        <f>SUM(E93:E95)</f>
        <v>0</v>
      </c>
      <c r="F96" s="54">
        <v>6149544</v>
      </c>
    </row>
    <row r="97" ht="13.5" thickTop="1"/>
  </sheetData>
  <sheetProtection/>
  <printOptions horizontalCentered="1"/>
  <pageMargins left="0.23" right="0.5" top="0.16" bottom="0.32" header="0.16" footer="0.17"/>
  <pageSetup firstPageNumber="21" useFirstPageNumber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2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9.140625" style="13" customWidth="1"/>
    <col min="2" max="2" width="6.00390625" style="279" customWidth="1"/>
    <col min="3" max="3" width="49.7109375" style="13" customWidth="1"/>
    <col min="4" max="4" width="3.00390625" style="13" hidden="1" customWidth="1"/>
    <col min="5" max="5" width="12.7109375" style="13" customWidth="1"/>
    <col min="6" max="6" width="1.7109375" style="13" customWidth="1"/>
    <col min="7" max="7" width="12.57421875" style="13" customWidth="1"/>
    <col min="8" max="8" width="9.140625" style="13" customWidth="1"/>
    <col min="9" max="9" width="12.140625" style="13" customWidth="1"/>
    <col min="10" max="10" width="9.140625" style="13" customWidth="1"/>
    <col min="11" max="11" width="15.00390625" style="30" customWidth="1"/>
    <col min="12" max="16384" width="9.140625" style="13" customWidth="1"/>
  </cols>
  <sheetData>
    <row r="1" spans="2:7" ht="12.75">
      <c r="B1" s="278">
        <v>16</v>
      </c>
      <c r="C1" s="8" t="s">
        <v>346</v>
      </c>
      <c r="E1" s="4">
        <v>2015</v>
      </c>
      <c r="F1" s="4"/>
      <c r="G1" s="4">
        <v>2014</v>
      </c>
    </row>
    <row r="2" spans="5:9" ht="15">
      <c r="E2" s="94">
        <v>118432757</v>
      </c>
      <c r="F2" s="95"/>
      <c r="G2" s="94">
        <v>190444576</v>
      </c>
      <c r="I2" s="42">
        <f>E2-PL!E9</f>
        <v>0</v>
      </c>
    </row>
    <row r="3" spans="5:7" ht="12.75">
      <c r="E3" s="34"/>
      <c r="F3" s="31"/>
      <c r="G3" s="34"/>
    </row>
    <row r="4" spans="2:3" ht="12.75">
      <c r="B4" s="278">
        <v>17</v>
      </c>
      <c r="C4" s="8" t="s">
        <v>295</v>
      </c>
    </row>
    <row r="5" ht="12.75">
      <c r="C5" s="8"/>
    </row>
    <row r="6" ht="12.75">
      <c r="C6" s="13" t="s">
        <v>92</v>
      </c>
    </row>
    <row r="7" spans="4:7" ht="12.75">
      <c r="D7" s="4"/>
      <c r="E7" s="4">
        <v>2015</v>
      </c>
      <c r="F7" s="4"/>
      <c r="G7" s="4">
        <v>2014</v>
      </c>
    </row>
    <row r="8" spans="3:7" ht="12.75">
      <c r="C8" s="13" t="s">
        <v>135</v>
      </c>
      <c r="D8" s="31"/>
      <c r="E8" s="34">
        <v>62608320</v>
      </c>
      <c r="F8" s="31"/>
      <c r="G8" s="31">
        <v>78163257</v>
      </c>
    </row>
    <row r="9" spans="3:7" ht="12.75" hidden="1">
      <c r="C9" s="13" t="s">
        <v>157</v>
      </c>
      <c r="D9" s="31"/>
      <c r="E9" s="37"/>
      <c r="F9" s="31"/>
      <c r="G9" s="37"/>
    </row>
    <row r="10" spans="4:7" ht="12.75">
      <c r="D10" s="31"/>
      <c r="E10" s="31"/>
      <c r="F10" s="31"/>
      <c r="G10" s="31">
        <v>0</v>
      </c>
    </row>
    <row r="11" spans="3:7" ht="12.75">
      <c r="C11" s="39" t="s">
        <v>197</v>
      </c>
      <c r="D11" s="31"/>
      <c r="E11" s="35">
        <v>110547172</v>
      </c>
      <c r="F11" s="35">
        <f>F31</f>
        <v>1619615</v>
      </c>
      <c r="G11" s="35">
        <v>159111216</v>
      </c>
    </row>
    <row r="12" spans="3:7" ht="12.75">
      <c r="C12" s="13" t="s">
        <v>253</v>
      </c>
      <c r="D12" s="31"/>
      <c r="E12" s="36">
        <v>23235</v>
      </c>
      <c r="F12" s="31"/>
      <c r="G12" s="36">
        <v>217789</v>
      </c>
    </row>
    <row r="13" spans="4:7" ht="12.75">
      <c r="D13" s="31"/>
      <c r="E13" s="57">
        <v>110570407</v>
      </c>
      <c r="F13" s="57">
        <f>F11+F12</f>
        <v>1619615</v>
      </c>
      <c r="G13" s="57">
        <v>159329005</v>
      </c>
    </row>
    <row r="14" spans="3:7" ht="12.75">
      <c r="C14" s="13" t="s">
        <v>136</v>
      </c>
      <c r="D14" s="31"/>
      <c r="E14" s="45">
        <v>173178727</v>
      </c>
      <c r="F14" s="45">
        <f>F8+F13</f>
        <v>1619615</v>
      </c>
      <c r="G14" s="45">
        <v>237492262</v>
      </c>
    </row>
    <row r="15" spans="3:7" ht="12.75">
      <c r="C15" s="13" t="s">
        <v>137</v>
      </c>
      <c r="D15" s="31"/>
      <c r="E15" s="37">
        <v>58025088</v>
      </c>
      <c r="F15" s="31"/>
      <c r="G15" s="37">
        <v>59130774</v>
      </c>
    </row>
    <row r="16" spans="3:7" ht="13.5" thickBot="1">
      <c r="C16" s="13" t="s">
        <v>24</v>
      </c>
      <c r="D16" s="31"/>
      <c r="E16" s="54">
        <v>115153639</v>
      </c>
      <c r="F16" s="45"/>
      <c r="G16" s="54">
        <v>178361488</v>
      </c>
    </row>
    <row r="17" spans="4:7" ht="13.5" thickTop="1">
      <c r="D17" s="31"/>
      <c r="E17" s="31"/>
      <c r="F17" s="31"/>
      <c r="G17" s="31"/>
    </row>
    <row r="18" spans="4:7" ht="12.75">
      <c r="D18" s="31"/>
      <c r="E18" s="31"/>
      <c r="F18" s="31"/>
      <c r="G18" s="31"/>
    </row>
    <row r="19" spans="2:7" ht="12.75">
      <c r="B19" s="280" t="s">
        <v>204</v>
      </c>
      <c r="C19" s="8" t="s">
        <v>294</v>
      </c>
      <c r="D19" s="31"/>
      <c r="E19" s="31"/>
      <c r="F19" s="31"/>
      <c r="G19" s="31"/>
    </row>
    <row r="20" spans="3:7" ht="12.75">
      <c r="C20" s="42"/>
      <c r="D20" s="31"/>
      <c r="E20" s="31"/>
      <c r="F20" s="31"/>
      <c r="G20" s="31"/>
    </row>
    <row r="21" spans="3:7" ht="12.75">
      <c r="C21" s="13" t="s">
        <v>93</v>
      </c>
      <c r="D21" s="31"/>
      <c r="E21" s="31"/>
      <c r="F21" s="31"/>
      <c r="G21" s="31"/>
    </row>
    <row r="22" spans="4:7" ht="12.75">
      <c r="D22" s="4"/>
      <c r="E22" s="4">
        <v>2015</v>
      </c>
      <c r="F22" s="4"/>
      <c r="G22" s="4">
        <v>2014</v>
      </c>
    </row>
    <row r="23" spans="3:7" ht="12.75">
      <c r="C23" s="39" t="s">
        <v>196</v>
      </c>
      <c r="D23" s="31"/>
      <c r="E23" s="31">
        <v>96688523</v>
      </c>
      <c r="F23" s="31"/>
      <c r="G23" s="31">
        <v>143813112</v>
      </c>
    </row>
    <row r="24" spans="3:7" ht="12.75">
      <c r="C24" s="13" t="s">
        <v>94</v>
      </c>
      <c r="D24" s="31"/>
      <c r="E24" s="37">
        <v>4295467</v>
      </c>
      <c r="F24" s="31"/>
      <c r="G24" s="37">
        <v>5698584</v>
      </c>
    </row>
    <row r="25" spans="4:7" ht="12.75">
      <c r="D25" s="31"/>
      <c r="E25" s="31">
        <v>100983990</v>
      </c>
      <c r="F25" s="31">
        <f>F23+F24</f>
        <v>0</v>
      </c>
      <c r="G25" s="31">
        <v>149511696</v>
      </c>
    </row>
    <row r="26" spans="3:7" ht="12.75">
      <c r="C26" s="13" t="s">
        <v>95</v>
      </c>
      <c r="D26" s="31"/>
      <c r="E26" s="37">
        <v>2579447</v>
      </c>
      <c r="F26" s="37">
        <v>1619615</v>
      </c>
      <c r="G26" s="37">
        <v>494350</v>
      </c>
    </row>
    <row r="27" spans="4:7" ht="12.75">
      <c r="D27" s="31"/>
      <c r="E27" s="31">
        <v>103563437</v>
      </c>
      <c r="F27" s="31">
        <f>F25+F26</f>
        <v>1619615</v>
      </c>
      <c r="G27" s="31">
        <v>150006046</v>
      </c>
    </row>
    <row r="28" spans="3:7" ht="12.75">
      <c r="C28" s="13" t="s">
        <v>96</v>
      </c>
      <c r="D28" s="31"/>
      <c r="E28" s="37">
        <v>2232048</v>
      </c>
      <c r="F28" s="31"/>
      <c r="G28" s="37">
        <v>890408</v>
      </c>
    </row>
    <row r="29" spans="4:7" ht="12.75">
      <c r="D29" s="31"/>
      <c r="E29" s="31">
        <v>101331389</v>
      </c>
      <c r="F29" s="31">
        <f>F27-F28</f>
        <v>1619615</v>
      </c>
      <c r="G29" s="31">
        <v>149115638</v>
      </c>
    </row>
    <row r="30" spans="3:7" ht="12.75">
      <c r="C30" s="13" t="s">
        <v>195</v>
      </c>
      <c r="D30" s="31"/>
      <c r="E30" s="31">
        <v>9215783</v>
      </c>
      <c r="F30" s="31">
        <f>F66</f>
        <v>0</v>
      </c>
      <c r="G30" s="31">
        <v>9995578</v>
      </c>
    </row>
    <row r="31" spans="3:7" ht="13.5" thickBot="1">
      <c r="C31" s="13" t="s">
        <v>117</v>
      </c>
      <c r="D31" s="31"/>
      <c r="E31" s="54">
        <v>110547172</v>
      </c>
      <c r="F31" s="54">
        <f>F29+F30</f>
        <v>1619615</v>
      </c>
      <c r="G31" s="54">
        <v>159111216</v>
      </c>
    </row>
    <row r="32" spans="4:7" ht="13.5" thickTop="1">
      <c r="D32" s="31"/>
      <c r="E32" s="34"/>
      <c r="F32" s="31"/>
      <c r="G32" s="34"/>
    </row>
    <row r="33" spans="4:7" ht="12.75">
      <c r="D33" s="31"/>
      <c r="E33" s="34"/>
      <c r="F33" s="31"/>
      <c r="G33" s="34"/>
    </row>
    <row r="34" spans="2:7" ht="12.75">
      <c r="B34" s="280" t="s">
        <v>205</v>
      </c>
      <c r="C34" s="8" t="s">
        <v>293</v>
      </c>
      <c r="D34" s="31"/>
      <c r="E34" s="31"/>
      <c r="F34" s="31"/>
      <c r="G34" s="31"/>
    </row>
    <row r="35" spans="4:7" ht="12.75">
      <c r="D35" s="31"/>
      <c r="E35" s="31"/>
      <c r="F35" s="31"/>
      <c r="G35" s="31"/>
    </row>
    <row r="36" spans="3:7" ht="12.75">
      <c r="C36" s="13" t="s">
        <v>119</v>
      </c>
      <c r="D36" s="31"/>
      <c r="E36" s="31"/>
      <c r="F36" s="31"/>
      <c r="G36" s="31"/>
    </row>
    <row r="37" spans="4:7" ht="12.75">
      <c r="D37" s="4"/>
      <c r="E37" s="4">
        <v>2015</v>
      </c>
      <c r="F37" s="4"/>
      <c r="G37" s="4">
        <v>2014</v>
      </c>
    </row>
    <row r="38" spans="3:7" ht="12.75">
      <c r="C38" s="13" t="s">
        <v>97</v>
      </c>
      <c r="D38" s="31"/>
      <c r="E38" s="31">
        <v>49970279</v>
      </c>
      <c r="F38" s="31">
        <v>63067495</v>
      </c>
      <c r="G38" s="31">
        <v>42415664</v>
      </c>
    </row>
    <row r="39" spans="4:7" ht="12.75">
      <c r="D39" s="31"/>
      <c r="E39" s="31"/>
      <c r="F39" s="31"/>
      <c r="G39" s="31"/>
    </row>
    <row r="40" spans="3:7" ht="12.75">
      <c r="C40" s="13" t="s">
        <v>193</v>
      </c>
      <c r="D40" s="31"/>
      <c r="E40" s="37">
        <v>93379881</v>
      </c>
      <c r="F40" s="37">
        <f>110993958-F24</f>
        <v>110993958</v>
      </c>
      <c r="G40" s="37">
        <v>146069484</v>
      </c>
    </row>
    <row r="41" spans="4:7" ht="12.75">
      <c r="D41" s="31"/>
      <c r="E41" s="31">
        <v>143350160</v>
      </c>
      <c r="F41" s="31">
        <f>F38+F40</f>
        <v>174061453</v>
      </c>
      <c r="G41" s="31">
        <v>188485148</v>
      </c>
    </row>
    <row r="42" spans="3:7" ht="12.75">
      <c r="C42" s="13" t="s">
        <v>98</v>
      </c>
      <c r="D42" s="31"/>
      <c r="E42" s="31">
        <v>46661637</v>
      </c>
      <c r="F42" s="31"/>
      <c r="G42" s="31">
        <v>44672036</v>
      </c>
    </row>
    <row r="43" spans="3:7" ht="13.5" thickBot="1">
      <c r="C43" s="13" t="s">
        <v>118</v>
      </c>
      <c r="D43" s="31"/>
      <c r="E43" s="54">
        <v>96688523</v>
      </c>
      <c r="F43" s="54">
        <f>F41-F42</f>
        <v>174061453</v>
      </c>
      <c r="G43" s="54">
        <v>143813112</v>
      </c>
    </row>
    <row r="44" spans="4:7" ht="13.5" thickTop="1">
      <c r="D44" s="31"/>
      <c r="E44" s="31"/>
      <c r="F44" s="31"/>
      <c r="G44" s="31"/>
    </row>
    <row r="45" spans="3:7" ht="12.75">
      <c r="C45" s="8"/>
      <c r="D45" s="31"/>
      <c r="E45" s="31"/>
      <c r="F45" s="31"/>
      <c r="G45" s="31"/>
    </row>
    <row r="46" spans="3:7" ht="12.75" hidden="1">
      <c r="C46" s="13" t="s">
        <v>151</v>
      </c>
      <c r="D46" s="31"/>
      <c r="E46" s="31"/>
      <c r="F46" s="31"/>
      <c r="G46" s="31"/>
    </row>
    <row r="47" spans="4:7" ht="12.75" hidden="1">
      <c r="D47" s="31"/>
      <c r="E47" s="31"/>
      <c r="F47" s="31"/>
      <c r="G47" s="31"/>
    </row>
    <row r="48" spans="3:7" ht="12.75" hidden="1">
      <c r="C48" s="8" t="s">
        <v>17</v>
      </c>
      <c r="D48" s="31"/>
      <c r="E48" s="31"/>
      <c r="F48" s="31"/>
      <c r="G48" s="31"/>
    </row>
    <row r="49" spans="4:7" ht="12.75" hidden="1">
      <c r="D49" s="4"/>
      <c r="E49" s="4" t="s">
        <v>152</v>
      </c>
      <c r="F49" s="31"/>
      <c r="G49" s="31" t="s">
        <v>152</v>
      </c>
    </row>
    <row r="50" spans="3:7" ht="12.75" hidden="1">
      <c r="C50" s="13" t="s">
        <v>147</v>
      </c>
      <c r="D50" s="31"/>
      <c r="E50" s="31">
        <v>42415664</v>
      </c>
      <c r="F50" s="31"/>
      <c r="G50" s="31">
        <v>42415664</v>
      </c>
    </row>
    <row r="51" spans="3:7" ht="12.75" hidden="1">
      <c r="C51" s="13" t="s">
        <v>148</v>
      </c>
      <c r="D51" s="31"/>
      <c r="E51" s="37">
        <v>146069484</v>
      </c>
      <c r="F51" s="31"/>
      <c r="G51" s="31">
        <v>146069484</v>
      </c>
    </row>
    <row r="52" spans="4:7" ht="12.75" hidden="1">
      <c r="D52" s="31">
        <v>0</v>
      </c>
      <c r="E52" s="31">
        <v>188485148</v>
      </c>
      <c r="F52" s="31"/>
      <c r="G52" s="31">
        <v>188485148</v>
      </c>
    </row>
    <row r="53" spans="3:7" ht="12.75" hidden="1">
      <c r="C53" s="13" t="s">
        <v>149</v>
      </c>
      <c r="D53" s="31"/>
      <c r="E53" s="31">
        <v>44672036</v>
      </c>
      <c r="F53" s="31"/>
      <c r="G53" s="31">
        <v>44672036</v>
      </c>
    </row>
    <row r="54" spans="3:7" ht="13.5" hidden="1" thickBot="1">
      <c r="C54" s="13" t="s">
        <v>150</v>
      </c>
      <c r="D54" s="34">
        <f>D52-D53</f>
        <v>0</v>
      </c>
      <c r="E54" s="32">
        <v>143813112</v>
      </c>
      <c r="F54" s="31"/>
      <c r="G54" s="31">
        <v>143813112</v>
      </c>
    </row>
    <row r="55" spans="4:7" ht="12.75">
      <c r="D55" s="31"/>
      <c r="E55" s="31"/>
      <c r="F55" s="31"/>
      <c r="G55" s="31"/>
    </row>
    <row r="56" spans="4:7" ht="12.75">
      <c r="D56" s="31"/>
      <c r="E56" s="31"/>
      <c r="F56" s="31"/>
      <c r="G56" s="31"/>
    </row>
    <row r="57" spans="4:7" ht="12.75">
      <c r="D57" s="31"/>
      <c r="E57" s="31"/>
      <c r="F57" s="31"/>
      <c r="G57" s="31"/>
    </row>
    <row r="58" spans="2:7" ht="12.75">
      <c r="B58" s="280" t="s">
        <v>206</v>
      </c>
      <c r="C58" s="8" t="s">
        <v>283</v>
      </c>
      <c r="D58" s="31"/>
      <c r="E58" s="31"/>
      <c r="F58" s="31"/>
      <c r="G58" s="31"/>
    </row>
    <row r="59" spans="4:7" ht="12.75">
      <c r="D59" s="31"/>
      <c r="E59" s="31"/>
      <c r="F59" s="31"/>
      <c r="G59" s="31"/>
    </row>
    <row r="60" spans="4:7" ht="12.75">
      <c r="D60" s="4"/>
      <c r="E60" s="4">
        <v>2015</v>
      </c>
      <c r="F60" s="4"/>
      <c r="G60" s="4">
        <v>2014</v>
      </c>
    </row>
    <row r="61" spans="4:7" ht="12.75">
      <c r="D61" s="4"/>
      <c r="E61" s="4"/>
      <c r="F61" s="4"/>
      <c r="G61" s="4"/>
    </row>
    <row r="62" spans="3:7" ht="12.75">
      <c r="C62" s="13" t="s">
        <v>120</v>
      </c>
      <c r="D62" s="31"/>
      <c r="E62" s="224">
        <v>5645722</v>
      </c>
      <c r="F62" s="31"/>
      <c r="G62" s="31">
        <v>5559115</v>
      </c>
    </row>
    <row r="63" spans="3:7" ht="12.75">
      <c r="C63" s="13" t="s">
        <v>100</v>
      </c>
      <c r="D63" s="31"/>
      <c r="E63" s="224">
        <v>556371</v>
      </c>
      <c r="F63" s="31"/>
      <c r="G63" s="31">
        <v>1073131</v>
      </c>
    </row>
    <row r="64" spans="3:7" ht="12.75">
      <c r="C64" s="13" t="s">
        <v>101</v>
      </c>
      <c r="D64" s="31"/>
      <c r="E64" s="224">
        <v>68315</v>
      </c>
      <c r="F64" s="31"/>
      <c r="G64" s="31">
        <v>144060</v>
      </c>
    </row>
    <row r="65" spans="3:7" ht="12.75">
      <c r="C65" s="13" t="s">
        <v>115</v>
      </c>
      <c r="D65" s="31"/>
      <c r="E65" s="284">
        <v>2945375</v>
      </c>
      <c r="F65" s="31"/>
      <c r="G65" s="31">
        <v>3219272</v>
      </c>
    </row>
    <row r="66" spans="4:7" ht="13.5" thickBot="1">
      <c r="D66" s="31"/>
      <c r="E66" s="283">
        <v>9215783</v>
      </c>
      <c r="F66" s="54">
        <f>SUM(F62:F65)</f>
        <v>0</v>
      </c>
      <c r="G66" s="54">
        <v>9995578</v>
      </c>
    </row>
    <row r="67" spans="4:7" ht="13.5" thickTop="1">
      <c r="D67" s="31"/>
      <c r="E67" s="31"/>
      <c r="F67" s="31"/>
      <c r="G67" s="31"/>
    </row>
    <row r="68" spans="4:7" ht="12.75">
      <c r="D68" s="31"/>
      <c r="E68" s="31"/>
      <c r="F68" s="31"/>
      <c r="G68" s="31"/>
    </row>
    <row r="69" spans="2:7" ht="12.75">
      <c r="B69" s="278">
        <v>18</v>
      </c>
      <c r="C69" s="8" t="s">
        <v>284</v>
      </c>
      <c r="D69" s="31"/>
      <c r="E69" s="31"/>
      <c r="F69" s="31"/>
      <c r="G69" s="31"/>
    </row>
    <row r="70" spans="4:7" ht="12.75">
      <c r="D70" s="31"/>
      <c r="E70" s="31"/>
      <c r="F70" s="31"/>
      <c r="G70" s="31"/>
    </row>
    <row r="71" spans="4:7" ht="12.75">
      <c r="D71" s="4"/>
      <c r="E71" s="4">
        <v>2015</v>
      </c>
      <c r="F71" s="4"/>
      <c r="G71" s="4">
        <v>2014</v>
      </c>
    </row>
    <row r="72" spans="4:7" ht="12.75">
      <c r="D72" s="4"/>
      <c r="E72" s="4"/>
      <c r="F72" s="4"/>
      <c r="G72" s="4"/>
    </row>
    <row r="73" spans="3:7" ht="12.75">
      <c r="C73" s="13" t="s">
        <v>102</v>
      </c>
      <c r="D73" s="31"/>
      <c r="E73" s="31">
        <v>2241254</v>
      </c>
      <c r="F73" s="31"/>
      <c r="G73" s="31">
        <v>2788987</v>
      </c>
    </row>
    <row r="74" spans="3:7" ht="12.75">
      <c r="C74" s="13" t="s">
        <v>146</v>
      </c>
      <c r="D74" s="31"/>
      <c r="E74" s="31">
        <v>135000</v>
      </c>
      <c r="F74" s="31"/>
      <c r="G74" s="31">
        <v>164304</v>
      </c>
    </row>
    <row r="75" spans="3:7" ht="12.75">
      <c r="C75" s="13" t="s">
        <v>153</v>
      </c>
      <c r="D75" s="31"/>
      <c r="E75" s="31">
        <v>141319</v>
      </c>
      <c r="F75" s="31"/>
      <c r="G75" s="31">
        <v>209719</v>
      </c>
    </row>
    <row r="76" spans="3:7" ht="12.75">
      <c r="C76" s="13" t="s">
        <v>88</v>
      </c>
      <c r="D76" s="31"/>
      <c r="E76" s="31">
        <v>163491</v>
      </c>
      <c r="F76" s="31"/>
      <c r="G76" s="31">
        <v>181234</v>
      </c>
    </row>
    <row r="77" spans="3:7" ht="12.75">
      <c r="C77" s="13" t="s">
        <v>103</v>
      </c>
      <c r="D77" s="31"/>
      <c r="E77" s="31">
        <v>234539</v>
      </c>
      <c r="F77" s="31"/>
      <c r="G77" s="31">
        <v>215279</v>
      </c>
    </row>
    <row r="78" spans="3:7" ht="12.75">
      <c r="C78" s="13" t="s">
        <v>140</v>
      </c>
      <c r="D78" s="31"/>
      <c r="E78" s="31">
        <v>144031</v>
      </c>
      <c r="F78" s="31"/>
      <c r="G78" s="31">
        <v>118654</v>
      </c>
    </row>
    <row r="79" spans="3:7" ht="12.75">
      <c r="C79" s="13" t="s">
        <v>138</v>
      </c>
      <c r="D79" s="31"/>
      <c r="E79" s="31">
        <v>703078</v>
      </c>
      <c r="F79" s="31"/>
      <c r="G79" s="31">
        <v>734177</v>
      </c>
    </row>
    <row r="80" spans="3:7" ht="12.75">
      <c r="C80" s="13" t="s">
        <v>104</v>
      </c>
      <c r="D80" s="31"/>
      <c r="E80" s="31">
        <v>996000</v>
      </c>
      <c r="F80" s="31"/>
      <c r="G80" s="31">
        <v>924000</v>
      </c>
    </row>
    <row r="81" spans="3:7" ht="12.75">
      <c r="C81" s="13" t="s">
        <v>208</v>
      </c>
      <c r="D81" s="31"/>
      <c r="E81" s="31">
        <v>497611</v>
      </c>
      <c r="F81" s="31"/>
      <c r="G81" s="31">
        <v>875331</v>
      </c>
    </row>
    <row r="82" spans="3:7" ht="12.75">
      <c r="C82" s="13" t="s">
        <v>141</v>
      </c>
      <c r="D82" s="31"/>
      <c r="E82" s="31">
        <v>112464</v>
      </c>
      <c r="F82" s="31"/>
      <c r="G82" s="31">
        <v>148743</v>
      </c>
    </row>
    <row r="83" spans="3:7" ht="12.75">
      <c r="C83" s="13" t="s">
        <v>99</v>
      </c>
      <c r="D83" s="31"/>
      <c r="E83" s="31">
        <v>776168</v>
      </c>
      <c r="F83" s="31"/>
      <c r="G83" s="31">
        <v>1259893</v>
      </c>
    </row>
    <row r="84" spans="3:7" ht="12.75">
      <c r="C84" s="13" t="s">
        <v>89</v>
      </c>
      <c r="D84" s="31"/>
      <c r="E84" s="31">
        <v>77005</v>
      </c>
      <c r="F84" s="31"/>
      <c r="G84" s="31">
        <v>84412</v>
      </c>
    </row>
    <row r="85" spans="3:7" ht="12.75">
      <c r="C85" s="13" t="s">
        <v>200</v>
      </c>
      <c r="D85" s="31"/>
      <c r="E85" s="31">
        <v>58200</v>
      </c>
      <c r="F85" s="31"/>
      <c r="G85" s="31">
        <v>73725</v>
      </c>
    </row>
    <row r="86" spans="3:7" ht="12.75">
      <c r="C86" s="13" t="s">
        <v>106</v>
      </c>
      <c r="D86" s="31"/>
      <c r="E86" s="31">
        <v>400</v>
      </c>
      <c r="F86" s="31"/>
      <c r="G86" s="31">
        <v>3135</v>
      </c>
    </row>
    <row r="87" spans="3:7" ht="12.75">
      <c r="C87" s="13" t="s">
        <v>107</v>
      </c>
      <c r="D87" s="31"/>
      <c r="E87" s="31">
        <v>20751</v>
      </c>
      <c r="F87" s="31"/>
      <c r="G87" s="31">
        <v>2069</v>
      </c>
    </row>
    <row r="88" spans="3:7" ht="12.75">
      <c r="C88" s="13" t="s">
        <v>108</v>
      </c>
      <c r="D88" s="31"/>
      <c r="E88" s="31">
        <v>870</v>
      </c>
      <c r="F88" s="31"/>
      <c r="G88" s="31">
        <v>3448</v>
      </c>
    </row>
    <row r="89" spans="3:7" ht="12.75">
      <c r="C89" s="13" t="s">
        <v>109</v>
      </c>
      <c r="D89" s="31"/>
      <c r="E89" s="31">
        <v>22438</v>
      </c>
      <c r="F89" s="31"/>
      <c r="G89" s="31">
        <v>12987</v>
      </c>
    </row>
    <row r="90" spans="3:7" ht="12.75">
      <c r="C90" s="13" t="s">
        <v>160</v>
      </c>
      <c r="D90" s="31"/>
      <c r="E90" s="31">
        <v>187207</v>
      </c>
      <c r="F90" s="31"/>
      <c r="G90" s="31">
        <v>253322</v>
      </c>
    </row>
    <row r="91" spans="3:7" ht="12.75">
      <c r="C91" s="13" t="s">
        <v>159</v>
      </c>
      <c r="D91" s="31"/>
      <c r="E91" s="31">
        <v>252253</v>
      </c>
      <c r="F91" s="31"/>
      <c r="G91" s="31">
        <v>469281</v>
      </c>
    </row>
    <row r="92" spans="3:7" ht="12.75">
      <c r="C92" s="13" t="s">
        <v>110</v>
      </c>
      <c r="D92" s="31"/>
      <c r="E92" s="31">
        <v>3600</v>
      </c>
      <c r="F92" s="31"/>
      <c r="G92" s="31">
        <v>5963</v>
      </c>
    </row>
    <row r="93" spans="3:7" ht="12.75">
      <c r="C93" s="13" t="s">
        <v>192</v>
      </c>
      <c r="D93" s="31"/>
      <c r="E93" s="31">
        <v>288958</v>
      </c>
      <c r="F93" s="31"/>
      <c r="G93" s="31">
        <v>275247</v>
      </c>
    </row>
    <row r="94" spans="3:7" ht="12.75">
      <c r="C94" s="13" t="s">
        <v>111</v>
      </c>
      <c r="D94" s="31"/>
      <c r="E94" s="31">
        <v>358000</v>
      </c>
      <c r="F94" s="31"/>
      <c r="G94" s="31">
        <v>431702</v>
      </c>
    </row>
    <row r="95" spans="3:7" ht="12.75">
      <c r="C95" s="13" t="s">
        <v>112</v>
      </c>
      <c r="D95" s="31"/>
      <c r="E95" s="31">
        <v>37580</v>
      </c>
      <c r="F95" s="31"/>
      <c r="G95" s="31">
        <v>37870</v>
      </c>
    </row>
    <row r="96" spans="3:7" ht="12.75">
      <c r="C96" s="13" t="s">
        <v>113</v>
      </c>
      <c r="D96" s="31"/>
      <c r="E96" s="31">
        <v>35049</v>
      </c>
      <c r="F96" s="31"/>
      <c r="G96" s="31">
        <v>40781</v>
      </c>
    </row>
    <row r="97" spans="3:7" ht="12.75">
      <c r="C97" s="13" t="s">
        <v>142</v>
      </c>
      <c r="D97" s="31"/>
      <c r="E97" s="31">
        <v>7506</v>
      </c>
      <c r="F97" s="31"/>
      <c r="G97" s="31">
        <v>7112</v>
      </c>
    </row>
    <row r="98" spans="3:7" ht="12.75">
      <c r="C98" s="13" t="s">
        <v>139</v>
      </c>
      <c r="D98" s="31"/>
      <c r="E98" s="31">
        <v>68282</v>
      </c>
      <c r="F98" s="31"/>
      <c r="G98" s="31">
        <v>67714</v>
      </c>
    </row>
    <row r="99" spans="3:7" ht="12.75">
      <c r="C99" s="13" t="s">
        <v>114</v>
      </c>
      <c r="D99" s="31"/>
      <c r="E99" s="31">
        <v>78800</v>
      </c>
      <c r="F99" s="31"/>
      <c r="G99" s="31">
        <v>75975</v>
      </c>
    </row>
    <row r="100" spans="3:7" ht="12.75">
      <c r="C100" s="13" t="s">
        <v>154</v>
      </c>
      <c r="D100" s="31"/>
      <c r="E100" s="31">
        <v>58000</v>
      </c>
      <c r="F100" s="31"/>
      <c r="G100" s="31">
        <v>58000</v>
      </c>
    </row>
    <row r="101" spans="3:7" ht="12.75">
      <c r="C101" s="13" t="s">
        <v>115</v>
      </c>
      <c r="D101" s="31"/>
      <c r="E101" s="31">
        <v>127290</v>
      </c>
      <c r="F101" s="31"/>
      <c r="G101" s="31">
        <v>147320</v>
      </c>
    </row>
    <row r="102" spans="4:7" ht="13.5" thickBot="1">
      <c r="D102" s="31"/>
      <c r="E102" s="54">
        <v>7827144</v>
      </c>
      <c r="F102" s="54">
        <f>SUM(F73:F101)</f>
        <v>0</v>
      </c>
      <c r="G102" s="54">
        <v>9670384</v>
      </c>
    </row>
    <row r="103" spans="2:7" ht="13.5" thickTop="1">
      <c r="B103" s="278" t="s">
        <v>144</v>
      </c>
      <c r="C103" s="8" t="s">
        <v>264</v>
      </c>
      <c r="D103" s="31"/>
      <c r="E103" s="31"/>
      <c r="F103" s="31"/>
      <c r="G103" s="31"/>
    </row>
    <row r="104" spans="4:7" ht="12.75">
      <c r="D104" s="31"/>
      <c r="E104" s="31"/>
      <c r="F104" s="31"/>
      <c r="G104" s="31"/>
    </row>
    <row r="105" spans="4:7" ht="12.75">
      <c r="D105" s="4"/>
      <c r="E105" s="4">
        <v>2015</v>
      </c>
      <c r="F105" s="4"/>
      <c r="G105" s="4">
        <v>2014</v>
      </c>
    </row>
    <row r="106" spans="4:7" ht="12.75">
      <c r="D106" s="4"/>
      <c r="E106" s="4"/>
      <c r="F106" s="4"/>
      <c r="G106" s="4"/>
    </row>
    <row r="107" spans="3:7" ht="12.75">
      <c r="C107" s="13" t="s">
        <v>116</v>
      </c>
      <c r="D107" s="31"/>
      <c r="E107" s="31">
        <v>32413</v>
      </c>
      <c r="F107" s="31"/>
      <c r="G107" s="31">
        <v>39679</v>
      </c>
    </row>
    <row r="108" spans="4:7" ht="13.5" thickBot="1">
      <c r="D108" s="31"/>
      <c r="E108" s="54">
        <v>32413</v>
      </c>
      <c r="F108" s="45"/>
      <c r="G108" s="54">
        <v>39679</v>
      </c>
    </row>
    <row r="109" ht="13.5" thickTop="1"/>
    <row r="111" spans="2:3" ht="12.75">
      <c r="B111" s="278">
        <v>20</v>
      </c>
      <c r="C111" s="1" t="s">
        <v>263</v>
      </c>
    </row>
    <row r="112" spans="3:7" ht="12.75">
      <c r="C112" s="7"/>
      <c r="E112" s="30"/>
      <c r="F112" s="30"/>
      <c r="G112" s="30"/>
    </row>
    <row r="113" spans="3:7" ht="12.75">
      <c r="C113" s="7" t="s">
        <v>177</v>
      </c>
      <c r="E113" s="287">
        <v>-5131887</v>
      </c>
      <c r="F113" s="30"/>
      <c r="G113" s="30">
        <v>1018221</v>
      </c>
    </row>
    <row r="114" spans="3:7" ht="12.75">
      <c r="C114" s="1"/>
      <c r="E114" s="30"/>
      <c r="F114" s="30"/>
      <c r="G114" s="30"/>
    </row>
    <row r="115" spans="3:7" ht="12.75">
      <c r="C115" s="7" t="s">
        <v>178</v>
      </c>
      <c r="E115" s="30">
        <v>4850000</v>
      </c>
      <c r="F115" s="30"/>
      <c r="G115" s="30">
        <v>4850000</v>
      </c>
    </row>
    <row r="116" ht="12.75">
      <c r="C116" s="7"/>
    </row>
    <row r="117" spans="3:7" ht="12.75">
      <c r="C117" s="8" t="s">
        <v>180</v>
      </c>
      <c r="E117" s="286">
        <v>-1.058121030927835</v>
      </c>
      <c r="F117" s="59"/>
      <c r="G117" s="59">
        <v>0.20994247422680412</v>
      </c>
    </row>
    <row r="119" spans="2:3" ht="12.75">
      <c r="B119" s="278">
        <v>21</v>
      </c>
      <c r="C119" s="1" t="s">
        <v>262</v>
      </c>
    </row>
    <row r="120" spans="2:3" ht="12.75">
      <c r="B120" s="282"/>
      <c r="C120" s="1"/>
    </row>
    <row r="121" spans="3:7" ht="12.75">
      <c r="C121" s="13" t="s">
        <v>179</v>
      </c>
      <c r="E121" s="30">
        <v>5198122</v>
      </c>
      <c r="F121" s="30"/>
      <c r="G121" s="30">
        <v>952077</v>
      </c>
    </row>
    <row r="122" spans="5:7" ht="12.75">
      <c r="E122" s="30"/>
      <c r="F122" s="30"/>
      <c r="G122" s="30"/>
    </row>
    <row r="123" spans="3:7" ht="12.75">
      <c r="C123" s="13" t="s">
        <v>178</v>
      </c>
      <c r="E123" s="30">
        <v>4850000</v>
      </c>
      <c r="F123" s="30"/>
      <c r="G123" s="30">
        <v>4850000</v>
      </c>
    </row>
    <row r="125" spans="3:7" ht="12.75">
      <c r="C125" s="8" t="s">
        <v>161</v>
      </c>
      <c r="E125" s="59">
        <v>1.071777731958763</v>
      </c>
      <c r="F125" s="59"/>
      <c r="G125" s="59">
        <v>0.19630453608247422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Absar</cp:lastModifiedBy>
  <cp:lastPrinted>2015-08-01T03:55:25Z</cp:lastPrinted>
  <dcterms:created xsi:type="dcterms:W3CDTF">2001-03-18T04:19:11Z</dcterms:created>
  <dcterms:modified xsi:type="dcterms:W3CDTF">2015-08-01T05:08:09Z</dcterms:modified>
  <cp:category/>
  <cp:version/>
  <cp:contentType/>
  <cp:contentStatus/>
</cp:coreProperties>
</file>