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065" tabRatio="601" activeTab="5"/>
  </bookViews>
  <sheets>
    <sheet name="BS" sheetId="1" r:id="rId1"/>
    <sheet name="PL" sheetId="2" r:id="rId2"/>
    <sheet name="UBS" sheetId="3" r:id="rId3"/>
    <sheet name="UPL" sheetId="4" r:id="rId4"/>
    <sheet name="CE" sheetId="5" r:id="rId5"/>
    <sheet name="CF" sheetId="6" r:id="rId6"/>
    <sheet name="N-1" sheetId="7" r:id="rId7"/>
    <sheet name="N-2" sheetId="8" r:id="rId8"/>
    <sheet name="N-3" sheetId="9" r:id="rId9"/>
    <sheet name="N-4" sheetId="10" r:id="rId10"/>
    <sheet name="N-5" sheetId="11" r:id="rId11"/>
    <sheet name="N-6" sheetId="12" r:id="rId12"/>
    <sheet name="N-7" sheetId="13" r:id="rId13"/>
    <sheet name="N-8" sheetId="14" r:id="rId14"/>
    <sheet name="N-9" sheetId="15" r:id="rId15"/>
    <sheet name="N-10" sheetId="16" r:id="rId16"/>
    <sheet name="Sheet1" sheetId="17" r:id="rId17"/>
  </sheets>
  <externalReferences>
    <externalReference r:id="rId20"/>
  </externalReferences>
  <definedNames>
    <definedName name="_xlnm.Print_Area" localSheetId="0">'BS'!$A$1:$L$60</definedName>
    <definedName name="_xlnm.Print_Area" localSheetId="15">'N-10'!$A$1:$E$38</definedName>
    <definedName name="_xlnm.Print_Area" localSheetId="11">'N-6'!$A$1:$F$41</definedName>
    <definedName name="_xlnm.Print_Area" localSheetId="12">'N-7'!$A$1:$G$28</definedName>
    <definedName name="_xlnm.Print_Area" localSheetId="13">'N-8'!$A$1:$C$22</definedName>
    <definedName name="_xlnm.Print_Area" localSheetId="14">'N-9'!$A$1:$E$16</definedName>
    <definedName name="_xlnm.Print_Area" localSheetId="1">'PL'!$A$1:$L$56</definedName>
    <definedName name="_xlnm.Print_Area" localSheetId="2">'UBS'!$A$1:$T$60</definedName>
    <definedName name="_xlnm.Print_Area" localSheetId="3">'UPL'!$A$1:$T$48</definedName>
    <definedName name="_xlnm.Print_Titles" localSheetId="6">'N-1'!$3:$5</definedName>
  </definedNames>
  <calcPr fullCalcOnLoad="1"/>
</workbook>
</file>

<file path=xl/sharedStrings.xml><?xml version="1.0" encoding="utf-8"?>
<sst xmlns="http://schemas.openxmlformats.org/spreadsheetml/2006/main" count="1089" uniqueCount="619">
  <si>
    <t>Turnover Tax 2015 @ .30 %</t>
  </si>
  <si>
    <t>(b) Details of the Shareholding is given below:</t>
  </si>
  <si>
    <t>(a) Composition of Shareholding:</t>
  </si>
  <si>
    <t>Range of holdings</t>
  </si>
  <si>
    <t>(d) Market Price:</t>
  </si>
  <si>
    <t>(c) Option on Un-Issued Shares:</t>
  </si>
  <si>
    <t>Premium</t>
  </si>
  <si>
    <t>Collection from Sales &amp; Others</t>
  </si>
  <si>
    <t>Payment for Cost &amp; Expenses</t>
  </si>
  <si>
    <t>No. of Shares</t>
  </si>
  <si>
    <t xml:space="preserve"> %</t>
  </si>
  <si>
    <t>In number of Shares</t>
  </si>
  <si>
    <t>Holding %</t>
  </si>
  <si>
    <t>Non-Current Assets</t>
  </si>
  <si>
    <t>Current Assets</t>
  </si>
  <si>
    <t>Current Liabilities</t>
  </si>
  <si>
    <t>02</t>
  </si>
  <si>
    <t>03</t>
  </si>
  <si>
    <t>04</t>
  </si>
  <si>
    <t>05</t>
  </si>
  <si>
    <t>07</t>
  </si>
  <si>
    <t>08</t>
  </si>
  <si>
    <t>09</t>
  </si>
  <si>
    <t>Basic Earning per Share (EPS)</t>
  </si>
  <si>
    <t>Share Premium</t>
  </si>
  <si>
    <t>03.</t>
  </si>
  <si>
    <t>Shareholders’ Equity</t>
  </si>
  <si>
    <t>Acquisition of Fixed Assets</t>
  </si>
  <si>
    <t>Date: Dhaka</t>
  </si>
  <si>
    <t>Net Profit/(Loss) during the year</t>
  </si>
  <si>
    <t xml:space="preserve">Notes </t>
  </si>
  <si>
    <t>Particulars</t>
  </si>
  <si>
    <t>Turnover</t>
  </si>
  <si>
    <t>The accounting policies and other notes form an integral part of the financial statements.</t>
  </si>
  <si>
    <t>Chartered Accountants</t>
  </si>
  <si>
    <t>Taka</t>
  </si>
  <si>
    <t>Gross Profit</t>
  </si>
  <si>
    <t>13.</t>
  </si>
  <si>
    <t>Operating Expenses</t>
  </si>
  <si>
    <t>Cost of Goods Sold</t>
  </si>
  <si>
    <t>Total</t>
  </si>
  <si>
    <t>CASH FLOW FROM OPERATING ACTIVITIES:</t>
  </si>
  <si>
    <t>CASH FLOW FROM INVESTING ACTIVITIES:</t>
  </si>
  <si>
    <t>CASH FLOW FROM FINANCING ACTIVITIES:</t>
  </si>
  <si>
    <t>Fixed Assets</t>
  </si>
  <si>
    <t>General Public</t>
  </si>
  <si>
    <t xml:space="preserve">Share </t>
  </si>
  <si>
    <t xml:space="preserve">Capital </t>
  </si>
  <si>
    <t>Net Cash Generated from Operating Activities</t>
  </si>
  <si>
    <t>Net Cash used in Investing Activities</t>
  </si>
  <si>
    <t>Net Cash Generated from Financing Activities</t>
  </si>
  <si>
    <t>Selling &amp; Distribution Expenses</t>
  </si>
  <si>
    <t>Share Capital</t>
  </si>
  <si>
    <t>Retained Earnings</t>
  </si>
  <si>
    <t>Retained</t>
  </si>
  <si>
    <t>Earnings</t>
  </si>
  <si>
    <t>Advances, Deposits &amp; Prepayments</t>
  </si>
  <si>
    <t>There is no option regarding the authorized capital not yet issued but can be used to increase the paid-up capital through the issuance of new shares against cash contribution and bonus.</t>
  </si>
  <si>
    <t>Pre-Production Expenses</t>
  </si>
  <si>
    <t>Inventories</t>
  </si>
  <si>
    <t>Accounts Receivable-Trade</t>
  </si>
  <si>
    <t>Accounts Payable (Goods Supply)</t>
  </si>
  <si>
    <t xml:space="preserve">Provision for Income Tax  </t>
  </si>
  <si>
    <t>Unclaimed Dividend</t>
  </si>
  <si>
    <t>Cash Credit</t>
  </si>
  <si>
    <t>Creditors &amp; Accruals</t>
  </si>
  <si>
    <t>Revenue Reserves &amp; Surplus</t>
  </si>
  <si>
    <t>Staff Gratuity</t>
  </si>
  <si>
    <t>Loan Fund</t>
  </si>
  <si>
    <t>Property &amp; Assets</t>
  </si>
  <si>
    <t>Capital &amp; Liabilities</t>
  </si>
  <si>
    <t>Total Assets</t>
  </si>
  <si>
    <t>Total Shareholders’ Equity &amp; Liabilities</t>
  </si>
  <si>
    <t>Administrative &amp; General Expenses</t>
  </si>
  <si>
    <t>Revaluation Reserve</t>
  </si>
  <si>
    <t>Revaluation</t>
  </si>
  <si>
    <t xml:space="preserve">As on </t>
  </si>
  <si>
    <t>Adjustment</t>
  </si>
  <si>
    <t>Surplus</t>
  </si>
  <si>
    <t>Charged</t>
  </si>
  <si>
    <t>Land &amp; Land Development</t>
  </si>
  <si>
    <t>Building &amp; Other Construction</t>
  </si>
  <si>
    <t>Roads &amp; Sewerage</t>
  </si>
  <si>
    <t>Electrical Installation</t>
  </si>
  <si>
    <t>Plant &amp; Machineries</t>
  </si>
  <si>
    <t>Furniture &amp; Fixtures</t>
  </si>
  <si>
    <t>Fittings</t>
  </si>
  <si>
    <t>Office Equipments</t>
  </si>
  <si>
    <t>Loose Tools</t>
  </si>
  <si>
    <t>Motor Vehicles</t>
  </si>
  <si>
    <t>Factory  Equipments</t>
  </si>
  <si>
    <t>Pump House</t>
  </si>
  <si>
    <t>Crockeries &amp; Cutleries</t>
  </si>
  <si>
    <t>Gas Line Installation</t>
  </si>
  <si>
    <t>Weight Bridge Equipments</t>
  </si>
  <si>
    <t>Factory Equipments</t>
  </si>
  <si>
    <t>Sundry Assets</t>
  </si>
  <si>
    <t>Addition</t>
  </si>
  <si>
    <t>during the year</t>
  </si>
  <si>
    <t>Assets</t>
  </si>
  <si>
    <t>Written down</t>
  </si>
  <si>
    <t xml:space="preserve">value as on </t>
  </si>
  <si>
    <t>The break-up of the amount is shown below :</t>
  </si>
  <si>
    <t>The break-up of the amount is shown below</t>
  </si>
  <si>
    <t>Factory (Cash &amp; Bank)</t>
  </si>
  <si>
    <t>Agrani Bank-Principal Br.</t>
  </si>
  <si>
    <t>04.</t>
  </si>
  <si>
    <t>Debt due below 6 Months</t>
  </si>
  <si>
    <t>Debt due over 6 Months</t>
  </si>
  <si>
    <t>The break-up of the amount is shown below:</t>
  </si>
  <si>
    <t>05.</t>
  </si>
  <si>
    <t>06.</t>
  </si>
  <si>
    <t>General Advance</t>
  </si>
  <si>
    <t>Staff Advance</t>
  </si>
  <si>
    <t>Advance Income Tax</t>
  </si>
  <si>
    <t>Security Deposits</t>
  </si>
  <si>
    <t>Earnest Money</t>
  </si>
  <si>
    <t>07.</t>
  </si>
  <si>
    <t>08.</t>
  </si>
  <si>
    <t>Head Office</t>
  </si>
  <si>
    <t>Directors/Sponsors</t>
  </si>
  <si>
    <t>Financial Institutions</t>
  </si>
  <si>
    <t>ICB Investors Account</t>
  </si>
  <si>
    <t>Less than 500</t>
  </si>
  <si>
    <t>50,001 to 100,000</t>
  </si>
  <si>
    <t>Over 100,000</t>
  </si>
  <si>
    <t>500 to 5,000</t>
  </si>
  <si>
    <t>5,001 to 10,000</t>
  </si>
  <si>
    <t>10,001 to 20,000</t>
  </si>
  <si>
    <t>20,001 to 30,000</t>
  </si>
  <si>
    <t>30,001 to 40,000</t>
  </si>
  <si>
    <t>40,001 to 50,000</t>
  </si>
  <si>
    <t>General Reserve</t>
  </si>
  <si>
    <t>Dividend Equalization Fund</t>
  </si>
  <si>
    <t>Premium received amounting of Tk. 106,700,000 as against 194,000 ordinary share at the rate of Tk. 550/- each share in the year 1997.</t>
  </si>
  <si>
    <t>10.</t>
  </si>
  <si>
    <t>This has been provided as per provision of section 45 (2B) (C) of the income Tax Ordinance 1984.</t>
  </si>
  <si>
    <t>Less: Adjustment during the year</t>
  </si>
  <si>
    <t>11.</t>
  </si>
  <si>
    <t>12.</t>
  </si>
  <si>
    <t>Work-in-process stores &amp; spares and also personal guarantee of all Directors of the Company.</t>
  </si>
  <si>
    <t>Uttara Bank Ltd.</t>
  </si>
  <si>
    <t>National Bank Ltd.</t>
  </si>
  <si>
    <t>Salary &amp; Allowances</t>
  </si>
  <si>
    <t>Telephone Charges</t>
  </si>
  <si>
    <t>Water Supply &amp; Sewerage</t>
  </si>
  <si>
    <t>Provident Fund</t>
  </si>
  <si>
    <t>Wages &amp; Allowances</t>
  </si>
  <si>
    <t>14.</t>
  </si>
  <si>
    <t>Name of Items</t>
  </si>
  <si>
    <t>Qty-M.Ton</t>
  </si>
  <si>
    <t>Amount</t>
  </si>
  <si>
    <t>PVC Rigid Pipes</t>
  </si>
  <si>
    <t>Thread Pipes</t>
  </si>
  <si>
    <t>Plastic Wood</t>
  </si>
  <si>
    <t>PVC Profile</t>
  </si>
  <si>
    <t>This is made up as under:</t>
  </si>
  <si>
    <t>This is made up  as under:</t>
  </si>
  <si>
    <t>Electricity &amp; Power (Absorbed)</t>
  </si>
  <si>
    <t>Opening Work-In-Process</t>
  </si>
  <si>
    <t>Closing Work-In-Process</t>
  </si>
  <si>
    <t>Opening Stock of Raw Materials</t>
  </si>
  <si>
    <t>Fuel &amp; Lubricants</t>
  </si>
  <si>
    <t>Repairs &amp; Maintenance</t>
  </si>
  <si>
    <t>Factory Maintenance</t>
  </si>
  <si>
    <t xml:space="preserve">Salary &amp; Allowances </t>
  </si>
  <si>
    <t>Travelling &amp; Conveyance</t>
  </si>
  <si>
    <t>Rent &amp; Rates</t>
  </si>
  <si>
    <t>Audit Fees</t>
  </si>
  <si>
    <t>Professional Fees</t>
  </si>
  <si>
    <t>Uniform Expenses</t>
  </si>
  <si>
    <t>Postage &amp; Telegram</t>
  </si>
  <si>
    <t>Gardening Expenses</t>
  </si>
  <si>
    <t>Medical Expenses</t>
  </si>
  <si>
    <t>Guest House Expenses</t>
  </si>
  <si>
    <t>A.G.M. Expenses</t>
  </si>
  <si>
    <t>Advertisement &amp; Publicity</t>
  </si>
  <si>
    <t xml:space="preserve">Miscellaneous </t>
  </si>
  <si>
    <t>Carrying Charges</t>
  </si>
  <si>
    <t>Internet Bill Expenses</t>
  </si>
  <si>
    <t>Depreciation</t>
  </si>
  <si>
    <t>Bank Charges</t>
  </si>
  <si>
    <t>15.</t>
  </si>
  <si>
    <t>Fittings Making Cost</t>
  </si>
  <si>
    <t>Cost of Goods Manufactured</t>
  </si>
  <si>
    <t>Cost of Materials Consumed</t>
  </si>
  <si>
    <t>16.</t>
  </si>
  <si>
    <t>This is made up as follows:</t>
  </si>
  <si>
    <t>Wages &amp; Salaries</t>
  </si>
  <si>
    <t>17.</t>
  </si>
  <si>
    <t>Financial Expenses</t>
  </si>
  <si>
    <t>Net Cash Inflow/(Outflow)</t>
  </si>
  <si>
    <t>Cash &amp; Bank Balances</t>
  </si>
  <si>
    <t>Inter-Unit Current Account</t>
  </si>
  <si>
    <t>Payment of Dividend</t>
  </si>
  <si>
    <t>Payment of Gratuity</t>
  </si>
  <si>
    <t>Advance VAT Charges</t>
  </si>
  <si>
    <t>Southeast Bank Ltd.</t>
  </si>
  <si>
    <t>Standard Bank Ltd.</t>
  </si>
  <si>
    <t>Islami Bank Bangladesh Ltd.</t>
  </si>
  <si>
    <t>Exim Bank Ltd.</t>
  </si>
  <si>
    <t>Mutual Trust Bank Ltd.</t>
  </si>
  <si>
    <t>Jamuna Bank Ltd.</t>
  </si>
  <si>
    <t>In view of the above, interest has not been shown in the Company’s accounts for the said period.</t>
  </si>
  <si>
    <t>Electricity Charges (Head Office)</t>
  </si>
  <si>
    <t>Electricity Charges (Factory)</t>
  </si>
  <si>
    <t>Opening Stock of Finished Goods</t>
  </si>
  <si>
    <t>Cost of Goods available for Sales</t>
  </si>
  <si>
    <t>Closing Stock of Finished Goods</t>
  </si>
  <si>
    <t>Canteen Charges</t>
  </si>
  <si>
    <t xml:space="preserve">Insurance Premium </t>
  </si>
  <si>
    <t>Entertainment Expenses</t>
  </si>
  <si>
    <t>Electricity Charges</t>
  </si>
  <si>
    <t>Newspaper &amp; Periodicals</t>
  </si>
  <si>
    <t>06</t>
  </si>
  <si>
    <t>The balance represents against the parties for goods supplies of the Company.</t>
  </si>
  <si>
    <t>20.</t>
  </si>
  <si>
    <t>21.</t>
  </si>
  <si>
    <t>The computation of EPS is given below:</t>
  </si>
  <si>
    <t>Net Profit after tax</t>
  </si>
  <si>
    <t>Weighted average number of ordinary shares in issue</t>
  </si>
  <si>
    <t>Margin on Bank Guarantee</t>
  </si>
  <si>
    <t>Board Meeting Fees</t>
  </si>
  <si>
    <t>No. of Shareholders</t>
  </si>
  <si>
    <t>Item wise quantity and value of closing stock of Raw Materials are as follows:</t>
  </si>
  <si>
    <t>Items</t>
  </si>
  <si>
    <t>Quantity (Kg.)</t>
  </si>
  <si>
    <t>Value (Tk.)</t>
  </si>
  <si>
    <t>Titanium</t>
  </si>
  <si>
    <t>Calcium Carbonate</t>
  </si>
  <si>
    <t>Parafin Wax</t>
  </si>
  <si>
    <t>Naftomix GWN 1050</t>
  </si>
  <si>
    <t>Hoechst Wax E Powder G-3</t>
  </si>
  <si>
    <t>Hoechst Wax PE-190 Powder G-8a</t>
  </si>
  <si>
    <t>Plastistrength P-530/Akdenizpro-45</t>
  </si>
  <si>
    <t>KANE ACE PA-60 Mod.3b</t>
  </si>
  <si>
    <t>DOP</t>
  </si>
  <si>
    <t>Quantity (Ton)</t>
  </si>
  <si>
    <t>Corrugated Pipes</t>
  </si>
  <si>
    <t>Item wise quantity and value of closing stock of Work-in-progress are as follows:</t>
  </si>
  <si>
    <t>Item wise quantity and value of closing stock of Finished Goods are as follows:</t>
  </si>
  <si>
    <t>Director</t>
  </si>
  <si>
    <t>None</t>
  </si>
  <si>
    <t>Associated Undertaking</t>
  </si>
  <si>
    <t>Officers</t>
  </si>
  <si>
    <t>There was no preference shares issued by the Company.</t>
  </si>
  <si>
    <t>The Company has no aggregated amount of contract for the capital expenditure to be executed and not provided for the year.</t>
  </si>
  <si>
    <t>The general advance is the amount disbursed/advanced against expenses for goods &amp; service and also the amount considered good by the management and no collateral security is held against such advances.</t>
  </si>
  <si>
    <t>The Company did not pay Brokerage and discount on sales other than the usual trade discount. Further, there is no commission on sale paid by the Company.</t>
  </si>
  <si>
    <t>Auditors are paid for only statutory audit fees approved by the shareholders in the last A.G.M.</t>
  </si>
  <si>
    <t>No money was expended by the Company for compensating any member of the Board of Directors for special service rendered.</t>
  </si>
  <si>
    <t>There was no Bank Guarantee issued by the company on be half of their Directors of the Company itself except bank loan.</t>
  </si>
  <si>
    <t>Aggregate amount due by Directors and other Officers of the Company or associated undertaking:</t>
  </si>
  <si>
    <t>Additional Disclosure as per SEC Rules, 1987 [Rule-12(2)1] &amp; Companies Act 1994, part 2 section XI:</t>
  </si>
  <si>
    <t>Notes</t>
  </si>
  <si>
    <t>Opening Stock of Raw Material</t>
  </si>
  <si>
    <t>Add. Purchase of Raw Materials</t>
  </si>
  <si>
    <t>Less. Closing stock of Raw Materials</t>
  </si>
  <si>
    <t>Consumption of Raw Materials</t>
  </si>
  <si>
    <t>Raw Materials Consumption are given below:</t>
  </si>
  <si>
    <t>Amount (Tk.)</t>
  </si>
  <si>
    <t>Rate</t>
  </si>
  <si>
    <t>Stabilizer SMS-318</t>
  </si>
  <si>
    <t>Static Acid</t>
  </si>
  <si>
    <t>Raw Materials (Note-5.01)</t>
  </si>
  <si>
    <t>Finished Goods (Note-5.02)</t>
  </si>
  <si>
    <t>Work-in-Process (Note-5.03)</t>
  </si>
  <si>
    <t>5.03</t>
  </si>
  <si>
    <t>Revaluation Reserve (Note-11.01)</t>
  </si>
  <si>
    <t>Tax Holiday Reserve (Note-11.02)</t>
  </si>
  <si>
    <t>Stationery Expenses</t>
  </si>
  <si>
    <t>Renewal Listing &amp; Other Expenses</t>
  </si>
  <si>
    <t>CDBL Expenses</t>
  </si>
  <si>
    <t>As per last account</t>
  </si>
  <si>
    <t>Less: Written off</t>
  </si>
  <si>
    <t>Less: Adjustment</t>
  </si>
  <si>
    <t>Net Profit/(Loss) before WPPF</t>
  </si>
  <si>
    <t>Contribution to WPPF</t>
  </si>
  <si>
    <t>Net Profit/(Loss) after Income Tax</t>
  </si>
  <si>
    <t>This represents revaluation surplus arose from revaluation of certain fixed assets by professional values in the year 1996 on the basis of Market value of the year.</t>
  </si>
  <si>
    <t>Transport Maintenances</t>
  </si>
  <si>
    <t>Office Maintenances</t>
  </si>
  <si>
    <t>Donation (Mosque Maintenances)</t>
  </si>
  <si>
    <t>Chairman</t>
  </si>
  <si>
    <t>Net Operating Cash Flow per Share</t>
  </si>
  <si>
    <t>Note</t>
  </si>
  <si>
    <t>Net Cash from Operating Activities</t>
  </si>
  <si>
    <t>The computation is given below:</t>
  </si>
  <si>
    <t>Add: Profit/(Loss) during the year</t>
  </si>
  <si>
    <t>Adjustment during the year</t>
  </si>
  <si>
    <t>Provision during the year</t>
  </si>
  <si>
    <t>23.</t>
  </si>
  <si>
    <t>24.</t>
  </si>
  <si>
    <t>25.</t>
  </si>
  <si>
    <t>Income Tax</t>
  </si>
  <si>
    <t>This above expense were incurred before commencement of production of the related units, plastic wood (unit-5) and PVC profile (unit-6) in the year 1998 to 2001. Amortization of the above expenses has not been made upto 2008 due to continuous loss of the Company in the subsequent years. But from the year 2009, management of the Company amortized of the pre-production expenses.</t>
  </si>
  <si>
    <t xml:space="preserve">All the above Banks have filled cases against the Company for realization of their outstanding loans which is still against the above banks for correction of accounts as well as compensation for the lapses of the Banks in providing funds timely unsettled. The Company also filed cases against the above banks for correction of accounts as well as compensation for lapses of the Banks in providing funds timely. </t>
  </si>
  <si>
    <t>Cost</t>
  </si>
  <si>
    <t>Unit-1</t>
  </si>
  <si>
    <t>Dep. on</t>
  </si>
  <si>
    <t>Unit-2</t>
  </si>
  <si>
    <t>Unit-3</t>
  </si>
  <si>
    <t>Unit-4</t>
  </si>
  <si>
    <t>Unit-5</t>
  </si>
  <si>
    <t>Unit-6</t>
  </si>
  <si>
    <t>Sub-Total</t>
  </si>
  <si>
    <t>Closing balance</t>
  </si>
  <si>
    <t xml:space="preserve">Resin </t>
  </si>
  <si>
    <t>Other Materials (Mixture)</t>
  </si>
  <si>
    <t>PVC Plastic / Profile</t>
  </si>
  <si>
    <t>Rigid, Pipes</t>
  </si>
  <si>
    <t>Advances:</t>
  </si>
  <si>
    <t>Deposits:</t>
  </si>
  <si>
    <t>Authorized Capital</t>
  </si>
  <si>
    <t>Issued, Subscribed &amp; Paid-up Capital</t>
  </si>
  <si>
    <t xml:space="preserve">Cash: </t>
  </si>
  <si>
    <t>Bank Balances:</t>
  </si>
  <si>
    <t>Add: Materials Purchase</t>
  </si>
  <si>
    <t>Less: Closing Stock of  Raw Materials</t>
  </si>
  <si>
    <t>Thread/ ASTD Pipes</t>
  </si>
  <si>
    <t xml:space="preserve">Total </t>
  </si>
  <si>
    <t>Share Premium: Tk. 106,700,000</t>
  </si>
  <si>
    <t>Tax Holiday Reserve: Tk. 23,016,918</t>
  </si>
  <si>
    <t>Cash Credit: Tk. 359,535,025</t>
  </si>
  <si>
    <t>Canteen Charge</t>
  </si>
  <si>
    <t>Aziz Pipes Limited</t>
  </si>
  <si>
    <t>Statement of Changes in Equity</t>
  </si>
  <si>
    <t>Unit Wise Statement of Comprehensive Income</t>
  </si>
  <si>
    <t>Statement of Comprehensive Income</t>
  </si>
  <si>
    <t>Statement of Financial Position</t>
  </si>
  <si>
    <t>Unit Wise Statement of Financial Position</t>
  </si>
  <si>
    <t>Md. Abul Hossain</t>
  </si>
  <si>
    <t>Mohd. Abdul Halim</t>
  </si>
  <si>
    <t>Payment of SEBL Block Account</t>
  </si>
  <si>
    <t>4,850,000 Ordinary Shares of Tk. 10/- each paid-up in full</t>
  </si>
  <si>
    <t>50,000,000 Ordinary Shares of Tk. 10/- each</t>
  </si>
  <si>
    <t>At the end of the year physical verification of Inventories was carried out jointly by the Company Official and Auditors. The basis of valuation is stated in Note-2.</t>
  </si>
  <si>
    <t>No amount was due by the Directors (including Managing Director) or any other official of the Company.</t>
  </si>
  <si>
    <t>The above amounts are unsecured but good. No provision was made for bad debt during the year under review.</t>
  </si>
  <si>
    <t>In the opinion of the Directors, all current assets, investments, loans and advances are on realization in the ordinary course of business, a value at least equal to the amounts at which they are stated in the Statement of Financial Position.</t>
  </si>
  <si>
    <t>There is no claim against the Company, which can be acknowledged as debt.</t>
  </si>
  <si>
    <t>No amount was due by the Directors (including Managing Director) and managing agents of the Company and any of them severally or jointly with any other person</t>
  </si>
  <si>
    <t>All advances are un-secured but good.</t>
  </si>
  <si>
    <t>The bank balances have been confirmed and reconciled with respective bank statements.</t>
  </si>
  <si>
    <t>Cash in hand has been verified by the Management at the close of the year and a cash custody certificate was furnished to the Auditors.</t>
  </si>
  <si>
    <t>This amount represents conversion of overdraft loan into Block Term Loan A/C by Southeast Bank Ltd., Principal Branch. As per re-scheduling given by Bank, this Term Loan amount will not attract any interest. As per re-scheduling arrangement vide their letter no. HO/CAD/822/2007/ dated: 30 December 2007, the terms and condition is given below:</t>
  </si>
  <si>
    <t>b) Tk. 1.00 crore will be paid as down payment in two installment (80 lac &amp; 20 lac);</t>
  </si>
  <si>
    <t>a) Aziz Pipes Ltd. will repay Tk. 13,20,00,000 (thirteen crore twenty lac) for final settlement of the liability by 10 (ten) years;</t>
  </si>
  <si>
    <t>c) Freezing of further charging of interest till full adjustment of the liability which also to be treated as waived subject full adjustment of Tk. 13,20,00,000/-;</t>
  </si>
  <si>
    <t>d) Rest of Tk. 12.20 crore will pay in 120 installment within 10 years;</t>
  </si>
  <si>
    <t xml:space="preserve">e) During the year under Audit amount of Tk. 134.00 lac paid as yearly installment. </t>
  </si>
  <si>
    <t>Most of the outstanding liabilities have subsequently been paid;</t>
  </si>
  <si>
    <t>No liabilities in the Statement of Financial Position are at a value less than the amount at which it is repayable at the date of the Statement of Financial Position.</t>
  </si>
  <si>
    <t>No expenses including  Royalty, Technical Experts &amp; Professional Advisory Fees and Interest etc. were  incurred  or paid in foreign currencies during the financial year.</t>
  </si>
  <si>
    <t>All shares have been fully allotted and paid-up.</t>
  </si>
  <si>
    <t>The Company has no related party transactions as per BAS-24 "Related Party Disclosures".</t>
  </si>
  <si>
    <t>Events after reporting period:</t>
  </si>
  <si>
    <t>No material events occurring after Statement of Financial Position date came to our notice which could be considered after the valuation made in the financial statements.</t>
  </si>
  <si>
    <t>Net Asset Value (NAV) per Share</t>
  </si>
  <si>
    <t>The Computation of NAV is given below</t>
  </si>
  <si>
    <t>Net Assets</t>
  </si>
  <si>
    <t xml:space="preserve">Number of Shares outstanding during the year </t>
  </si>
  <si>
    <t>Net Assets Value per Share (NAV) ( Per value Tk. 10)</t>
  </si>
  <si>
    <t>Tax provision on Turnover during the years made as following basis:-</t>
  </si>
  <si>
    <t>Tax provision</t>
  </si>
  <si>
    <t>Tk.</t>
  </si>
  <si>
    <t xml:space="preserve">Term Loan </t>
  </si>
  <si>
    <t xml:space="preserve">Opening Cash &amp; Bank Balances </t>
  </si>
  <si>
    <t xml:space="preserve">Closing Cash &amp; Bank Balances </t>
  </si>
  <si>
    <t>Amortized-off Preproduction Expenses</t>
  </si>
  <si>
    <t>Net Profit before Income Tax</t>
  </si>
  <si>
    <t>Gross Profit/(Loss)</t>
  </si>
  <si>
    <t>Pigment-Yellow</t>
  </si>
  <si>
    <t>Pigment-Green</t>
  </si>
  <si>
    <t>Pigment-Blue</t>
  </si>
  <si>
    <t>Pigment-Brown</t>
  </si>
  <si>
    <t>Pigment-Peach</t>
  </si>
  <si>
    <t>Pigment-Grey</t>
  </si>
  <si>
    <t>Pigment-Red</t>
  </si>
  <si>
    <t>Pigment-Black</t>
  </si>
  <si>
    <t>Luvopor  865/50  DB Tr-1</t>
  </si>
  <si>
    <t>Barostab PB-51 S-ST-2</t>
  </si>
  <si>
    <t>U.V.Absorver "JF-77 "</t>
  </si>
  <si>
    <t>The Company recognized no deferred Tax liability in accordance with paragraph-47 of BAS-12</t>
  </si>
  <si>
    <t xml:space="preserve">Cash credits are availed from the followings Banks and are secured against hypothecation of Fixed &amp; Floating assets i.e. on Raw materials. </t>
  </si>
  <si>
    <t>Dutch Bangla Bank Ltd.</t>
  </si>
  <si>
    <t>No Director received any remuneration from Company except Board Meeting attendance Fees.</t>
  </si>
  <si>
    <t>The distribution schedule showing the number of Shareholders and their shareholding in percentage has been disclosed below as a requirement of the “Listing Regulation” of Dhaka and Chittagong Stock Exchange Limited.</t>
  </si>
  <si>
    <t>Quantity (Kg)</t>
  </si>
  <si>
    <t>Depreciation allocation as under:-</t>
  </si>
  <si>
    <t>Factory Overhead</t>
  </si>
  <si>
    <t>Barolub PA -C (PE WAX) G-8b</t>
  </si>
  <si>
    <t>Barolub L-OH (Cetyl Alcohol) G-19</t>
  </si>
  <si>
    <t>Add: Adjustment for Revaluation</t>
  </si>
  <si>
    <t>Operating Profit</t>
  </si>
  <si>
    <t>AC 316A (Oxyd.pe wax) G-7</t>
  </si>
  <si>
    <t>Barolub LS-100 G-70s</t>
  </si>
  <si>
    <t>Indofil KM 323B/Cell builder-Mod.2c</t>
  </si>
  <si>
    <t>Barostab V 20MC-ST-1</t>
  </si>
  <si>
    <t xml:space="preserve">Statement of Cash Flows </t>
  </si>
  <si>
    <t>Balance as on 01-01-2014</t>
  </si>
  <si>
    <t>Balance as on 31-12-2014</t>
  </si>
  <si>
    <t>Uttara Bank Ltd., Corporate Branch converted of short term loan Tk. 57,200,000 segregated into (cash credit hypothecation/pledge) to blocked term loan A/C and as per understanding given by the Bank this segregated amount will not attract any interest and as such has been treated accordingly by the Company.</t>
  </si>
  <si>
    <t>Earnings Per Share (EPS) ( Per value Tk. 10)</t>
  </si>
  <si>
    <t>Add: Adjustment for Lease Rent</t>
  </si>
  <si>
    <t>Disclosure as per requirement  of Schedule XI, Part II of the Companies Act, 1994:</t>
  </si>
  <si>
    <t>A.</t>
  </si>
  <si>
    <t>Disclosure as per requirement of Schedule XI, Part II, Note 5 of Para 3:</t>
  </si>
  <si>
    <t>Salary (Monthly)</t>
  </si>
  <si>
    <t>Officer &amp; Staff</t>
  </si>
  <si>
    <t>Worker</t>
  </si>
  <si>
    <t>Total Employees</t>
  </si>
  <si>
    <t>Factory</t>
  </si>
  <si>
    <t>Below Tk. 3,000/-</t>
  </si>
  <si>
    <t>Above Tk. 3,000/-</t>
  </si>
  <si>
    <t>B.</t>
  </si>
  <si>
    <t>Disclosure as per requirement of Schedule XI, Part II, Para 4:</t>
  </si>
  <si>
    <t>Name of Directors</t>
  </si>
  <si>
    <t>Designation</t>
  </si>
  <si>
    <t>Remuneration</t>
  </si>
  <si>
    <t>Total Payment</t>
  </si>
  <si>
    <t>a. Expenses reimbursed to the managing agent - Nil</t>
  </si>
  <si>
    <t>b. Commission or other remuneration payable separately to a managing agent or his associate -Nil</t>
  </si>
  <si>
    <t>c. Commission received or receivable by the managing agent or his associate as selling or buying agent of other concerns in respect of contracts entered into such concerns with the company-Nil</t>
  </si>
  <si>
    <t>d. The money value of the contracts for the sale or purchase of goods and materials or supply of services, enter into by the company with the managing agent or his associate during the financial year-Nil</t>
  </si>
  <si>
    <t>e. Any other perquisites or benefits in cash or in kind stating-Nil</t>
  </si>
  <si>
    <t>f. Other allowances and commission including guarantee commission-Nil</t>
  </si>
  <si>
    <t>Pensions, etc.-</t>
  </si>
  <si>
    <t>1) Pensions-Nil</t>
  </si>
  <si>
    <t>2) Gratuities-Nil</t>
  </si>
  <si>
    <t>4) Compensation for loss of office-Nil</t>
  </si>
  <si>
    <t>5) Consideration in connection with retirement from office-Nil</t>
  </si>
  <si>
    <t>C.</t>
  </si>
  <si>
    <t>Disclosure as per requirement of Schedule XI, Part II, Para 7:</t>
  </si>
  <si>
    <t>Details of production capacity utilization:</t>
  </si>
  <si>
    <t>License Capacity (In MT)</t>
  </si>
  <si>
    <t>Actual Production (In MT)</t>
  </si>
  <si>
    <t>Capacity Utilization</t>
  </si>
  <si>
    <t>D.</t>
  </si>
  <si>
    <t>Disclosure as per requirement of Schedule XI, Part II, Para 8:</t>
  </si>
  <si>
    <t>Raw materials, spare parts, packing materials and capital machinery:</t>
  </si>
  <si>
    <t>Purchase (BDT)</t>
  </si>
  <si>
    <t>Consumption (BDT)</t>
  </si>
  <si>
    <t>% of consumption of total purchase</t>
  </si>
  <si>
    <t xml:space="preserve">Import </t>
  </si>
  <si>
    <t>Local</t>
  </si>
  <si>
    <t>Raw materials</t>
  </si>
  <si>
    <t>Spare parts</t>
  </si>
  <si>
    <t>Packing materials</t>
  </si>
  <si>
    <t>Value of export:</t>
  </si>
  <si>
    <t>In foreign currencies (US$)</t>
  </si>
  <si>
    <t>In BDT</t>
  </si>
  <si>
    <t>Export</t>
  </si>
  <si>
    <t>E.</t>
  </si>
  <si>
    <t>Disclosure as per requirement of Schedule XI, Part II, Para 3:</t>
  </si>
  <si>
    <t>Requirements under Condition No.</t>
  </si>
  <si>
    <t>Compliance status of disclosure of Schedule XI, Part II, Para 3</t>
  </si>
  <si>
    <t>3(i)(a) The turnover</t>
  </si>
  <si>
    <t>Complied</t>
  </si>
  <si>
    <t>3 (i)(b) Commission paid to the selling agent</t>
  </si>
  <si>
    <t>Not Applicable</t>
  </si>
  <si>
    <t>3(i)(c ) Brokerage and discount on sales, other than the usual trade discount</t>
  </si>
  <si>
    <t>3(i)(d)(i) The value of the raw materials consumed, giving item wise as possible</t>
  </si>
  <si>
    <t>3(i)(d)(ii) The opening and closing stocks of goods produced</t>
  </si>
  <si>
    <t>3(i)(e) In the case of trading companies, the purchase made and the opening and closing stocks</t>
  </si>
  <si>
    <t>3(i)(f) In the case of companies rendering or supplying services, the gross income derived from services rendered or supplied</t>
  </si>
  <si>
    <t>3(i)(g) Opening and closing stocks, purchases and sales and consumption of raw materials with value and quantity break-up for the company, which falls under one or more categories i.e. manufacturing and/or trading</t>
  </si>
  <si>
    <t xml:space="preserve">3(i)(h) In the case of other companies, the gross income derived under different heads </t>
  </si>
  <si>
    <t xml:space="preserve">3(i)(i) Work-in-progress, which have been completed at the commencement and at the end of the accounting period </t>
  </si>
  <si>
    <t>3(i)(k) Interest on the debenture paid or payable to the Managing Director, Managing Agent and Manager</t>
  </si>
  <si>
    <t>3(i)(l) Charge of income tax and other taxation on profits</t>
  </si>
  <si>
    <t>3(i)(m) Revised for repayment of share capital and repayment of loans</t>
  </si>
  <si>
    <t>3(i)(n)(i) Amount set aside or proposed to be set aside, to reserve, but not including provisions made to meet any specific liability, contingency or commitment, know to exist at the date as at which the balance sheet is made up</t>
  </si>
  <si>
    <t>3(i)(n)(ii) Amount withdrawn from above mentioned reserve</t>
  </si>
  <si>
    <t>3(i)(o)(i) Amount set aside to provisions made for meeting specific liabilities, contingencies of commitments</t>
  </si>
  <si>
    <t>3(i)(o)(ii) Amount withdrawn from above mentioned provisions, as no longer required</t>
  </si>
  <si>
    <t>F.</t>
  </si>
  <si>
    <t>The details break-up of Advances, Deposits and Pre-payments as per requirement of Schedule XI of the Companies Act, 1994 as stated below:</t>
  </si>
  <si>
    <t>Advances, Deposits and Pre-payments exceeding 6 months</t>
  </si>
  <si>
    <t>Advances, Deposits and Pre-payments not exceeding 6 months</t>
  </si>
  <si>
    <t>Nil</t>
  </si>
  <si>
    <t>Advances, Deposits and Pre-payments considered good and secured</t>
  </si>
  <si>
    <t xml:space="preserve">Advances, Deposits and Pre-payments considered goods without security  </t>
  </si>
  <si>
    <t>Advances, Deposits and Pre-payments considered doubtful or bad</t>
  </si>
  <si>
    <t>Advances, Deposits and Pre-payments due by Directors</t>
  </si>
  <si>
    <t>Advances, Deposits and Pre-payments due by other officers (against salary)</t>
  </si>
  <si>
    <t>Maximum Advances, Deposits &amp; Pre-payments due by Directors</t>
  </si>
  <si>
    <t>Maximum Advances, Deposits &amp; Pre-payments due by Officers at any time</t>
  </si>
  <si>
    <t>Mohd. Ahsan Ullah</t>
  </si>
  <si>
    <t>Mohd. Asad Ullah</t>
  </si>
  <si>
    <t>Mahmud Mizanur Rahman</t>
  </si>
  <si>
    <t>Md. Rafiqul Islam</t>
  </si>
  <si>
    <t>Engr. Shahjahan Sikder</t>
  </si>
  <si>
    <t>Md. Sultan Jahangiri</t>
  </si>
  <si>
    <t xml:space="preserve">Annual production capacity in MT </t>
  </si>
  <si>
    <t>Adjustment for Lease Rent</t>
  </si>
  <si>
    <t>Since filling of the cases against the Company, the Banks neither charged any interest nor sent any demand from note/statement of interest for the period from 01-01-2013 to 31-12-2014 to the Company.</t>
  </si>
  <si>
    <t>Long Term Loan (SEBL)</t>
  </si>
  <si>
    <t>Long Term Block A/C (UBL)</t>
  </si>
  <si>
    <t>Interest Block Account</t>
  </si>
  <si>
    <t xml:space="preserve">Currently due to working capital shortage, PVC Plastic Wood and PVC Flexible Corrugated Conduit Pipes production has been temporarily closed.
 </t>
  </si>
  <si>
    <t>Deferred Tax Liabilities</t>
  </si>
  <si>
    <t>Add: (Reduction)/addition during the year</t>
  </si>
  <si>
    <t>Cost of Goods Manufactured (Note-21.01)</t>
  </si>
  <si>
    <t>Cost of Materials Consumed (Note-201.02)</t>
  </si>
  <si>
    <t>Factory Overhead (Note-21.03)</t>
  </si>
  <si>
    <t>26.</t>
  </si>
  <si>
    <t>27.00</t>
  </si>
  <si>
    <t>Income Tax Expenses</t>
  </si>
  <si>
    <t>Current Tax</t>
  </si>
  <si>
    <t>Deferred Tax</t>
  </si>
  <si>
    <t>Add: Adjustment for Deferred Tax</t>
  </si>
  <si>
    <t>Balance as on 1 January</t>
  </si>
  <si>
    <t>Balance as on 31 December</t>
  </si>
  <si>
    <t>Administrative Overhead</t>
  </si>
  <si>
    <t>The above Directors of the company did not take any benefit from the company except attendance fees for Board Meeting and others are as follows:</t>
  </si>
  <si>
    <t>3) Payment from Provided Fund-Nil</t>
  </si>
  <si>
    <t>ii) The company has not earned any foreign exchanges for loyalty, know-how, professional fees, consultancy fees and interest;</t>
  </si>
  <si>
    <t xml:space="preserve">3(i)(j) Provision for depreciation, renewals or diminution in value of fixed assets </t>
  </si>
  <si>
    <t>Disclosure of Advances, Deposits and Pre-payments of Schedule XI of the Companies Act, 1994:</t>
  </si>
  <si>
    <t>Other Advances, Deposits &amp; Pre-payments less provision</t>
  </si>
  <si>
    <t>Advances, Deposits and Pre-payments due from companies under same management</t>
  </si>
  <si>
    <t>Adjustment for Deferred Tax</t>
  </si>
  <si>
    <t>31-12-2015</t>
  </si>
  <si>
    <t>Fixed Assets: Tk. 93,457,603</t>
  </si>
  <si>
    <t>01.01.2015</t>
  </si>
  <si>
    <t>as at 31 December, 2015</t>
  </si>
  <si>
    <t>for the year ended 31 December, 2015</t>
  </si>
  <si>
    <t>Balance as on 01-01-2015</t>
  </si>
  <si>
    <t>Balance as on 31-12-2015</t>
  </si>
  <si>
    <t>Cash paid during the year</t>
  </si>
  <si>
    <t>Turnover January-2015 to December-2015</t>
  </si>
  <si>
    <t>Employee position  of the company as at 31 Dec, 2015:</t>
  </si>
  <si>
    <t>Period of payment to Directors is from 01 January, 2015 to 31 December, 2015.</t>
  </si>
  <si>
    <t>Pre-Production Expenses: Tk. 17,360,031</t>
  </si>
  <si>
    <t>Earnings Per Share (EPS): TK. (1.81)</t>
  </si>
  <si>
    <t>Net Assets Value per Share (NAV): Tk. (52.68)</t>
  </si>
  <si>
    <t>Net Operating Cash Flows per Share (NOCFPS): Tk. 2.42</t>
  </si>
  <si>
    <t>Factory Overhead: Tk. 20,009,845</t>
  </si>
  <si>
    <t>Turnover: Tk. 210,491,529</t>
  </si>
  <si>
    <t>Provision for Income Tax: Tk. 4,732,709</t>
  </si>
  <si>
    <t>Creditors &amp; Accruals: Tk. 2,407,064</t>
  </si>
  <si>
    <t>Accounts Payable (Goods Supply): Tk. 63,966,627</t>
  </si>
  <si>
    <t>Deferred Tax Liabilities: Tk. 28,022,460</t>
  </si>
  <si>
    <t>Term Loan: Tk. 145,742,630</t>
  </si>
  <si>
    <t>Revaluation Reserve: Tk. 38,969,493</t>
  </si>
  <si>
    <t>Revenue Reserves &amp; Surplus: Tk. 62,841,411</t>
  </si>
  <si>
    <t>Inventories: Tk. 110,735,309</t>
  </si>
  <si>
    <t>There are no Non-resident shareholders as on 31 December, 2015.</t>
  </si>
  <si>
    <t>Attainable Capacity (In MT)</t>
  </si>
  <si>
    <t>iii) The value of export represents for the period from 01 January, 2015 to 31 December, 2015.</t>
  </si>
  <si>
    <t>31/12.2014</t>
  </si>
  <si>
    <t>There was no claim against the Company not acknowledged as debts as on 31-12-2015.</t>
  </si>
  <si>
    <t>Administrative &amp; General Expenses: TK. 19,928,571</t>
  </si>
  <si>
    <t>Cost of Materials Consumed: Tk. 166,893,899</t>
  </si>
  <si>
    <t>Cost of Goods Manufactured: Tk. 196,701,136</t>
  </si>
  <si>
    <t>Cost of Goods Sold: Tk. 199,629,424</t>
  </si>
  <si>
    <t>i) The company has not incurred any expenditure in foreign currencies for the period from 01 January, 2015 to 31 December, 2015 on account of royalty, know-how, professional fees, consultancy fees and interest;</t>
  </si>
  <si>
    <t>3(i)(p) Expenditure incurred on each of the following items, separately for each item: (i) Consumption of stores and spare parts (ii) Power and Fuel (iii) Rent (iv) Repairs of Buildings (v) Repairs of Machinery (vi) (1) Salaries, wages and bonus (2) Contribution to provident and other funds (3) Worksmen and staff welfare expenses to the extent not adjusted from any previous provision or reserve</t>
  </si>
  <si>
    <t>Festival Bonus</t>
  </si>
  <si>
    <t>Finished Goods: Tk. 59,703,267</t>
  </si>
  <si>
    <t>There was no contingent liabilities as on close of the business as on 31-12-2015 except the sub-judice matters relating to bank loan.</t>
  </si>
  <si>
    <t>4.01</t>
  </si>
  <si>
    <t>4.02</t>
  </si>
  <si>
    <t>10.01</t>
  </si>
  <si>
    <t>10.02</t>
  </si>
  <si>
    <t>Raw Materials: Tk. 48,875,800</t>
  </si>
  <si>
    <t>Accounts Receivable-Trade: Tk. 102,778,804</t>
  </si>
  <si>
    <t>Advances, Deposits &amp; Prepayments: Tk. 25,067,678</t>
  </si>
  <si>
    <t>Janata Bank Ltd.</t>
  </si>
  <si>
    <t>The shares of the Company are listed with both the Dhaka and Chittagong Stock Exchange Limited and quoted at Tk. 36.50 (in 2014 Tk. 20.00) per share and  Tk. 44.00 (in 2014 Tk. 22.00) per share in the Dhaka and Chittagong Stock Exchange Limited respectively on 31 December, 2015</t>
  </si>
  <si>
    <t>Work-in-Process: Tk. 2,156,242</t>
  </si>
  <si>
    <t>This is the Statement of Financial Position</t>
  </si>
  <si>
    <t>referred to in our report of even date.</t>
  </si>
  <si>
    <t>This is the Statement of Comprehensive Income</t>
  </si>
  <si>
    <t>Material</t>
  </si>
  <si>
    <t>Electricity</t>
  </si>
  <si>
    <t>Cost of Goods Sold:</t>
  </si>
  <si>
    <t>Material consumed</t>
  </si>
  <si>
    <t>Wages and Salaries</t>
  </si>
  <si>
    <t>Repairs and Maintenance</t>
  </si>
  <si>
    <t>Electricity Absored</t>
  </si>
  <si>
    <t>Other Expense</t>
  </si>
  <si>
    <t>Total cost</t>
  </si>
  <si>
    <t>Cash &amp; Bank Balances: Tk. 1,257,227</t>
  </si>
  <si>
    <t>Share Capital: Tk. 48,500,000</t>
  </si>
  <si>
    <t>Financial Expenses: Tk. 89,516</t>
  </si>
  <si>
    <t>HAQUE SHAH ALAM MANSUR &amp; CO.</t>
  </si>
  <si>
    <t xml:space="preserve">This is the Statement of Statement of Cash Flows </t>
  </si>
  <si>
    <t xml:space="preserve">This is the Statement of Statement of Changes </t>
  </si>
  <si>
    <t>in Equity referred to in our report of even date.</t>
  </si>
  <si>
    <t xml:space="preserve">         Managing Director (C.C)</t>
  </si>
  <si>
    <t xml:space="preserve">         Md. Nurul Absar</t>
  </si>
  <si>
    <t>Assistant Company Secretary</t>
  </si>
  <si>
    <t xml:space="preserve"> Managing Director (C.C)</t>
  </si>
  <si>
    <t>Operating Profit /(Loss)</t>
  </si>
  <si>
    <t>Net Profit /(Loss) before WPPF</t>
  </si>
  <si>
    <t>Net Profit /(Loss) before Income Tax</t>
  </si>
  <si>
    <t>Net Profit /(Loss) after Income Tax</t>
  </si>
  <si>
    <t>Assistant Company            Secretary</t>
  </si>
  <si>
    <t>Retained Earnings: Tk. (473,533,724)</t>
  </si>
  <si>
    <t>20.01</t>
  </si>
  <si>
    <t>20.02</t>
  </si>
  <si>
    <t>20.03</t>
  </si>
  <si>
    <t>22.</t>
  </si>
  <si>
    <t>Expenses</t>
  </si>
  <si>
    <t>Polythin Purchase for Profile Packing Purpose</t>
  </si>
  <si>
    <t>Bamboo Purchase for Truck Loading Purpoe</t>
  </si>
  <si>
    <t>Printer Ink Purchase for Pipe &amp; Profile Printing Purpose</t>
  </si>
  <si>
    <t>Solvent Purchase for Pipe &amp; Profile Printing Purpose</t>
  </si>
  <si>
    <t>Plastic Rope Purchase for Pipe &amp; Profile Packing Purpose</t>
  </si>
  <si>
    <t>Umbrella Purchase for Dealer Distribution Purpose</t>
  </si>
  <si>
    <t>Total interest amounting to Tk. 44,763,620 has been transferred to interest block which was provision against cash credit before classify period.</t>
  </si>
  <si>
    <t>Md.Wahiduzzamam Khandaker</t>
  </si>
  <si>
    <t xml:space="preserve"> Md. Nurul Absar</t>
  </si>
  <si>
    <t>A H M Zakaria</t>
  </si>
  <si>
    <t xml:space="preserve">  Managing Director (C.C)</t>
  </si>
  <si>
    <t xml:space="preserve">   Director</t>
  </si>
  <si>
    <t>28 April, 2015</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</si>
</sst>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000"/>
    <numFmt numFmtId="177" formatCode="0.0"/>
    <numFmt numFmtId="178" formatCode="0.0000"/>
    <numFmt numFmtId="179" formatCode="0.00000"/>
    <numFmt numFmtId="180" formatCode="0.000000"/>
    <numFmt numFmtId="181" formatCode="_(* #,##0.0_);_(* \(#,##0.0\);_(* &quot;-&quot;??_);_(@_)"/>
    <numFmt numFmtId="182" formatCode="_(* #,##0_);_(* \(#,##0\);_(* &quot;-&quot;??_);_(@_)"/>
    <numFmt numFmtId="183" formatCode="_(* #,##0.000_);_(* \(#,##0.000\);_(* &quot;-&quot;??_);_(@_)"/>
    <numFmt numFmtId="184" formatCode="0.0%"/>
    <numFmt numFmtId="185" formatCode="_(* #,##0.0_);_(* \(#,##0.0\);_(* &quot;-&quot;?_);_(@_)"/>
    <numFmt numFmtId="186" formatCode="_(* #,##0.0000_);_(* \(#,##0.0000\);_(* &quot;-&quot;??_);_(@_)"/>
    <numFmt numFmtId="187" formatCode="_(* #,##0.00000_);_(* \(#,##0.00000\);_(* &quot;-&quot;??_);_(@_)"/>
    <numFmt numFmtId="188" formatCode="_(* #,##0_);_(* \(#,##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_(* #,##0.00000000000_);_(* \(#,##0.00000000000\);_(* &quot;-&quot;??_);_(@_)"/>
    <numFmt numFmtId="195" formatCode="_-* #,##0_-;\-* #,##0_-;_-* &quot;-&quot;??_-;_-@_-"/>
    <numFmt numFmtId="196" formatCode="0.00_ ;\-0.00\ "/>
    <numFmt numFmtId="197" formatCode="&quot;Yes&quot;;&quot;Yes&quot;;&quot;No&quot;"/>
    <numFmt numFmtId="198" formatCode="&quot;True&quot;;&quot;True&quot;;&quot;False&quot;"/>
    <numFmt numFmtId="199" formatCode="&quot;On&quot;;&quot;On&quot;;&quot;Off&quot;"/>
    <numFmt numFmtId="200" formatCode="[$€-2]\ #,##0.00_);[Red]\([$€-2]\ #,##0.00\)"/>
  </numFmts>
  <fonts count="71">
    <font>
      <sz val="10"/>
      <name val="Arial"/>
      <family val="0"/>
    </font>
    <font>
      <b/>
      <sz val="10"/>
      <name val="Arial"/>
      <family val="2"/>
    </font>
    <font>
      <b/>
      <u val="double"/>
      <sz val="10"/>
      <name val="Arial"/>
      <family val="2"/>
    </font>
    <font>
      <b/>
      <u val="double"/>
      <sz val="9"/>
      <name val="Arial"/>
      <family val="2"/>
    </font>
    <font>
      <b/>
      <sz val="8"/>
      <name val="Arial"/>
      <family val="2"/>
    </font>
    <font>
      <sz val="9"/>
      <name val="Arial"/>
      <family val="2"/>
    </font>
    <font>
      <b/>
      <sz val="12"/>
      <name val="Arial"/>
      <family val="2"/>
    </font>
    <font>
      <b/>
      <u val="double"/>
      <sz val="8"/>
      <name val="Arial"/>
      <family val="2"/>
    </font>
    <font>
      <b/>
      <u val="single"/>
      <sz val="10"/>
      <name val="Arial"/>
      <family val="2"/>
    </font>
    <font>
      <b/>
      <sz val="9"/>
      <name val="Arial"/>
      <family val="2"/>
    </font>
    <font>
      <sz val="8"/>
      <name val="Arial"/>
      <family val="2"/>
    </font>
    <font>
      <sz val="10"/>
      <color indexed="8"/>
      <name val="MS Sans Serif"/>
      <family val="2"/>
    </font>
    <font>
      <sz val="9.5"/>
      <name val="Arial"/>
      <family val="2"/>
    </font>
    <font>
      <b/>
      <sz val="10"/>
      <color indexed="8"/>
      <name val="Arial"/>
      <family val="2"/>
    </font>
    <font>
      <sz val="10"/>
      <color indexed="8"/>
      <name val="Arial"/>
      <family val="2"/>
    </font>
    <font>
      <sz val="11"/>
      <color indexed="8"/>
      <name val="Arial"/>
      <family val="2"/>
    </font>
    <font>
      <b/>
      <sz val="11"/>
      <color indexed="8"/>
      <name val="Arial"/>
      <family val="2"/>
    </font>
    <font>
      <b/>
      <sz val="11"/>
      <color indexed="8"/>
      <name val="Calibri"/>
      <family val="2"/>
    </font>
    <font>
      <u val="single"/>
      <sz val="10"/>
      <color indexed="36"/>
      <name val="Arial"/>
      <family val="2"/>
    </font>
    <font>
      <u val="single"/>
      <sz val="10"/>
      <color indexed="12"/>
      <name val="Arial"/>
      <family val="2"/>
    </font>
    <font>
      <u val="single"/>
      <sz val="10"/>
      <name val="Arial"/>
      <family val="2"/>
    </font>
    <font>
      <u val="double"/>
      <sz val="10"/>
      <name val="Arial"/>
      <family val="2"/>
    </font>
    <font>
      <u val="singleAccounting"/>
      <sz val="10"/>
      <name val="Arial"/>
      <family val="2"/>
    </font>
    <font>
      <b/>
      <sz val="14"/>
      <name val="Arial"/>
      <family val="2"/>
    </font>
    <font>
      <sz val="9"/>
      <color indexed="8"/>
      <name val="Arial"/>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9"/>
      <color indexed="10"/>
      <name val="Arial"/>
      <family val="2"/>
    </font>
    <font>
      <b/>
      <sz val="12"/>
      <color indexed="8"/>
      <name val="Tahoma"/>
      <family val="2"/>
    </font>
    <font>
      <sz val="12"/>
      <color indexed="8"/>
      <name val="Tahoma"/>
      <family val="2"/>
    </font>
    <font>
      <b/>
      <sz val="14"/>
      <name val="Times New Roman"/>
      <family val="1"/>
    </font>
    <font>
      <b/>
      <sz val="11"/>
      <name val="Times New Roman"/>
      <family val="1"/>
    </font>
    <font>
      <sz val="11"/>
      <name val="Times New Roman"/>
      <family val="1"/>
    </font>
    <font>
      <sz val="11"/>
      <color indexed="8"/>
      <name val="Times New Roman"/>
      <family val="1"/>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b/>
      <sz val="11"/>
      <color rgb="FF3F3F3F"/>
      <name val="Tahoma"/>
      <family val="2"/>
    </font>
    <font>
      <b/>
      <sz val="18"/>
      <color theme="3"/>
      <name val="Tahoma"/>
      <family val="2"/>
    </font>
    <font>
      <b/>
      <sz val="11"/>
      <color theme="1"/>
      <name val="Tahoma"/>
      <family val="2"/>
    </font>
    <font>
      <sz val="11"/>
      <color rgb="FFFF0000"/>
      <name val="Tahoma"/>
      <family val="2"/>
    </font>
    <font>
      <sz val="9"/>
      <color rgb="FFFF0000"/>
      <name val="Arial"/>
      <family val="2"/>
    </font>
    <font>
      <b/>
      <sz val="12"/>
      <color theme="1"/>
      <name val="Tahoma"/>
      <family val="2"/>
    </font>
    <font>
      <sz val="12"/>
      <color theme="1"/>
      <name val="Tahoma"/>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uble"/>
    </border>
    <border>
      <left style="thin"/>
      <right>
        <color indexed="63"/>
      </right>
      <top style="thin"/>
      <bottom style="thin"/>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01">
    <xf numFmtId="0" fontId="0" fillId="0" borderId="0" xfId="0" applyAlignment="1">
      <alignment/>
    </xf>
    <xf numFmtId="0" fontId="1" fillId="0" borderId="0" xfId="0" applyFont="1" applyAlignment="1">
      <alignment/>
    </xf>
    <xf numFmtId="43" fontId="0" fillId="0" borderId="0" xfId="42" applyFont="1" applyAlignment="1">
      <alignment/>
    </xf>
    <xf numFmtId="0" fontId="0" fillId="0" borderId="0" xfId="0" applyAlignment="1">
      <alignment horizontal="center"/>
    </xf>
    <xf numFmtId="0" fontId="1" fillId="0" borderId="0" xfId="0" applyFont="1" applyAlignment="1">
      <alignment horizontal="center"/>
    </xf>
    <xf numFmtId="182" fontId="0" fillId="0" borderId="0" xfId="42" applyNumberFormat="1" applyFont="1" applyAlignment="1">
      <alignment/>
    </xf>
    <xf numFmtId="0" fontId="1" fillId="0" borderId="0" xfId="0" applyFont="1" applyAlignment="1">
      <alignment horizontal="righ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82" fontId="1" fillId="0" borderId="0" xfId="42" applyNumberFormat="1" applyFont="1" applyBorder="1" applyAlignment="1">
      <alignment/>
    </xf>
    <xf numFmtId="182" fontId="0" fillId="0" borderId="10" xfId="42" applyNumberFormat="1" applyFont="1" applyBorder="1" applyAlignment="1">
      <alignment/>
    </xf>
    <xf numFmtId="182" fontId="1" fillId="0" borderId="11" xfId="42" applyNumberFormat="1" applyFont="1" applyBorder="1" applyAlignment="1">
      <alignment/>
    </xf>
    <xf numFmtId="0" fontId="1" fillId="0" borderId="10" xfId="0" applyFont="1" applyBorder="1" applyAlignment="1">
      <alignment horizontal="center"/>
    </xf>
    <xf numFmtId="182" fontId="0" fillId="0" borderId="12" xfId="42" applyNumberFormat="1" applyFont="1" applyBorder="1" applyAlignment="1">
      <alignment/>
    </xf>
    <xf numFmtId="0" fontId="0" fillId="0" borderId="0" xfId="0" applyFont="1" applyAlignment="1">
      <alignment horizontal="right"/>
    </xf>
    <xf numFmtId="182" fontId="0" fillId="0" borderId="0" xfId="42" applyNumberFormat="1" applyFont="1" applyAlignment="1">
      <alignment/>
    </xf>
    <xf numFmtId="182" fontId="0" fillId="0" borderId="13" xfId="42" applyNumberFormat="1" applyFont="1" applyBorder="1" applyAlignment="1">
      <alignment/>
    </xf>
    <xf numFmtId="0" fontId="0" fillId="0" borderId="0" xfId="0" applyFont="1" applyAlignment="1">
      <alignment/>
    </xf>
    <xf numFmtId="182" fontId="0" fillId="0" borderId="0" xfId="0" applyNumberFormat="1" applyAlignment="1">
      <alignment/>
    </xf>
    <xf numFmtId="182" fontId="0" fillId="0" borderId="12" xfId="42" applyNumberFormat="1" applyFont="1" applyBorder="1" applyAlignment="1">
      <alignment horizontal="right"/>
    </xf>
    <xf numFmtId="182" fontId="0" fillId="0" borderId="13" xfId="42" applyNumberFormat="1" applyFont="1" applyBorder="1" applyAlignment="1">
      <alignment horizontal="right"/>
    </xf>
    <xf numFmtId="182" fontId="0" fillId="0" borderId="0" xfId="42" applyNumberFormat="1" applyFont="1" applyBorder="1" applyAlignment="1">
      <alignment/>
    </xf>
    <xf numFmtId="182" fontId="0" fillId="0" borderId="0" xfId="0" applyNumberFormat="1" applyFont="1" applyAlignment="1">
      <alignment/>
    </xf>
    <xf numFmtId="182" fontId="0" fillId="0" borderId="0" xfId="42" applyNumberFormat="1" applyFont="1" applyBorder="1" applyAlignment="1">
      <alignment/>
    </xf>
    <xf numFmtId="0" fontId="1" fillId="0" borderId="0" xfId="0" applyFont="1" applyBorder="1" applyAlignment="1">
      <alignment/>
    </xf>
    <xf numFmtId="182" fontId="0" fillId="0" borderId="0" xfId="42" applyNumberFormat="1" applyFont="1" applyBorder="1" applyAlignment="1">
      <alignment horizontal="right"/>
    </xf>
    <xf numFmtId="0" fontId="0" fillId="0" borderId="0" xfId="0" applyFont="1" applyBorder="1" applyAlignment="1">
      <alignment/>
    </xf>
    <xf numFmtId="182" fontId="1" fillId="0" borderId="0" xfId="42" applyNumberFormat="1" applyFont="1" applyBorder="1" applyAlignment="1">
      <alignment horizontal="right"/>
    </xf>
    <xf numFmtId="182" fontId="1" fillId="0" borderId="0" xfId="0" applyNumberFormat="1" applyFont="1" applyBorder="1" applyAlignment="1">
      <alignment horizontal="right"/>
    </xf>
    <xf numFmtId="182" fontId="1" fillId="0" borderId="0" xfId="0" applyNumberFormat="1" applyFont="1" applyBorder="1" applyAlignment="1">
      <alignment/>
    </xf>
    <xf numFmtId="182" fontId="0" fillId="0" borderId="10" xfId="0" applyNumberFormat="1" applyFont="1" applyBorder="1" applyAlignment="1">
      <alignment horizontal="right"/>
    </xf>
    <xf numFmtId="182" fontId="0" fillId="0" borderId="0" xfId="0" applyNumberFormat="1" applyFont="1" applyAlignment="1">
      <alignment horizontal="right"/>
    </xf>
    <xf numFmtId="182" fontId="0" fillId="0" borderId="10" xfId="42" applyNumberFormat="1" applyFont="1" applyBorder="1" applyAlignment="1">
      <alignment/>
    </xf>
    <xf numFmtId="182" fontId="0" fillId="0" borderId="12" xfId="42" applyNumberFormat="1" applyFont="1" applyBorder="1" applyAlignment="1">
      <alignment/>
    </xf>
    <xf numFmtId="0" fontId="0" fillId="0" borderId="10" xfId="0" applyBorder="1" applyAlignment="1">
      <alignment horizontal="center"/>
    </xf>
    <xf numFmtId="0" fontId="0" fillId="0" borderId="12" xfId="0" applyBorder="1" applyAlignment="1">
      <alignment horizontal="center"/>
    </xf>
    <xf numFmtId="182" fontId="0" fillId="0" borderId="13" xfId="42" applyNumberFormat="1" applyFont="1" applyBorder="1" applyAlignment="1">
      <alignment/>
    </xf>
    <xf numFmtId="0" fontId="0" fillId="0" borderId="14" xfId="0" applyBorder="1" applyAlignment="1">
      <alignment horizontal="center"/>
    </xf>
    <xf numFmtId="0" fontId="1" fillId="0" borderId="0" xfId="0" applyFont="1" applyAlignment="1" quotePrefix="1">
      <alignment horizontal="right"/>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horizontal="centerContinuous"/>
    </xf>
    <xf numFmtId="0" fontId="0" fillId="0" borderId="0" xfId="0" applyFont="1" applyAlignment="1">
      <alignment horizontal="justify"/>
    </xf>
    <xf numFmtId="0" fontId="0" fillId="0" borderId="15" xfId="0" applyBorder="1" applyAlignment="1">
      <alignment horizontal="center"/>
    </xf>
    <xf numFmtId="0" fontId="0" fillId="0" borderId="15" xfId="0" applyFont="1" applyBorder="1" applyAlignment="1">
      <alignment horizontal="center"/>
    </xf>
    <xf numFmtId="182" fontId="0" fillId="0" borderId="16" xfId="42" applyNumberFormat="1" applyFont="1" applyBorder="1" applyAlignment="1">
      <alignment/>
    </xf>
    <xf numFmtId="0" fontId="0" fillId="0" borderId="0" xfId="0" applyFont="1" applyFill="1" applyBorder="1" applyAlignment="1">
      <alignment/>
    </xf>
    <xf numFmtId="0" fontId="0" fillId="0" borderId="0" xfId="0" applyFont="1" applyAlignment="1">
      <alignment horizontal="left"/>
    </xf>
    <xf numFmtId="0" fontId="1" fillId="0" borderId="17" xfId="0" applyFont="1" applyBorder="1" applyAlignment="1">
      <alignment horizontal="center"/>
    </xf>
    <xf numFmtId="0" fontId="1" fillId="0" borderId="10" xfId="0" applyFont="1" applyBorder="1" applyAlignment="1">
      <alignment/>
    </xf>
    <xf numFmtId="0" fontId="1" fillId="0" borderId="13" xfId="0" applyFont="1" applyBorder="1" applyAlignment="1">
      <alignment/>
    </xf>
    <xf numFmtId="3" fontId="0" fillId="0" borderId="10" xfId="0" applyNumberFormat="1" applyBorder="1" applyAlignment="1">
      <alignment horizontal="center"/>
    </xf>
    <xf numFmtId="0" fontId="1" fillId="0" borderId="11" xfId="0" applyFont="1" applyBorder="1" applyAlignment="1">
      <alignment horizontal="center"/>
    </xf>
    <xf numFmtId="3" fontId="1" fillId="0" borderId="18" xfId="0" applyNumberFormat="1" applyFont="1" applyBorder="1" applyAlignment="1">
      <alignment horizontal="center"/>
    </xf>
    <xf numFmtId="182" fontId="1" fillId="0" borderId="18" xfId="42" applyNumberFormat="1" applyFont="1" applyBorder="1" applyAlignment="1">
      <alignment/>
    </xf>
    <xf numFmtId="182" fontId="2" fillId="0" borderId="0" xfId="42" applyNumberFormat="1" applyFont="1" applyAlignment="1">
      <alignment/>
    </xf>
    <xf numFmtId="182" fontId="3" fillId="0" borderId="0" xfId="42" applyNumberFormat="1" applyFont="1" applyAlignment="1">
      <alignment/>
    </xf>
    <xf numFmtId="0" fontId="1" fillId="0" borderId="12" xfId="0" applyFont="1" applyBorder="1" applyAlignment="1">
      <alignment horizontal="center"/>
    </xf>
    <xf numFmtId="0" fontId="1" fillId="0" borderId="19" xfId="0" applyFont="1" applyBorder="1" applyAlignment="1">
      <alignment horizontal="center"/>
    </xf>
    <xf numFmtId="0" fontId="1" fillId="0" borderId="14" xfId="0" applyFont="1" applyBorder="1" applyAlignment="1">
      <alignment horizontal="center"/>
    </xf>
    <xf numFmtId="0" fontId="1" fillId="0" borderId="20" xfId="0" applyFont="1" applyBorder="1" applyAlignment="1">
      <alignment horizontal="center"/>
    </xf>
    <xf numFmtId="0" fontId="1" fillId="0" borderId="16" xfId="0" applyFont="1" applyBorder="1" applyAlignment="1">
      <alignment horizontal="center"/>
    </xf>
    <xf numFmtId="0" fontId="0" fillId="0" borderId="10" xfId="0" applyBorder="1" applyAlignment="1" quotePrefix="1">
      <alignment horizontal="center"/>
    </xf>
    <xf numFmtId="2" fontId="0" fillId="0" borderId="0" xfId="0" applyNumberFormat="1" applyAlignment="1">
      <alignment horizontal="center"/>
    </xf>
    <xf numFmtId="0" fontId="0" fillId="0" borderId="12" xfId="0" applyFont="1" applyBorder="1" applyAlignment="1">
      <alignment/>
    </xf>
    <xf numFmtId="0" fontId="5" fillId="0" borderId="12" xfId="0" applyFont="1" applyBorder="1" applyAlignment="1">
      <alignment/>
    </xf>
    <xf numFmtId="3" fontId="0" fillId="0" borderId="0" xfId="0" applyNumberFormat="1" applyFont="1" applyAlignment="1">
      <alignment/>
    </xf>
    <xf numFmtId="182" fontId="0" fillId="0" borderId="0" xfId="42" applyNumberFormat="1" applyFont="1" applyAlignment="1">
      <alignment/>
    </xf>
    <xf numFmtId="182" fontId="0" fillId="0" borderId="21" xfId="42" applyNumberFormat="1" applyFont="1" applyBorder="1" applyAlignment="1">
      <alignment/>
    </xf>
    <xf numFmtId="0" fontId="0" fillId="0" borderId="0" xfId="0" applyFont="1" applyAlignment="1">
      <alignment vertical="top" wrapText="1"/>
    </xf>
    <xf numFmtId="182" fontId="0" fillId="0" borderId="0" xfId="42" applyNumberFormat="1" applyFont="1" applyBorder="1" applyAlignment="1">
      <alignment/>
    </xf>
    <xf numFmtId="182" fontId="0" fillId="0" borderId="10" xfId="42" applyNumberFormat="1" applyFont="1" applyBorder="1" applyAlignment="1">
      <alignment/>
    </xf>
    <xf numFmtId="182" fontId="0" fillId="0" borderId="13" xfId="42" applyNumberFormat="1" applyFont="1" applyBorder="1" applyAlignment="1">
      <alignment/>
    </xf>
    <xf numFmtId="182" fontId="0" fillId="0" borderId="22" xfId="42" applyNumberFormat="1" applyFont="1" applyBorder="1" applyAlignment="1">
      <alignment/>
    </xf>
    <xf numFmtId="182" fontId="0" fillId="0" borderId="10" xfId="42" applyNumberFormat="1" applyFont="1" applyBorder="1" applyAlignment="1">
      <alignment horizontal="right"/>
    </xf>
    <xf numFmtId="182" fontId="0" fillId="0" borderId="0" xfId="0" applyNumberFormat="1" applyFont="1" applyBorder="1" applyAlignment="1">
      <alignment/>
    </xf>
    <xf numFmtId="43" fontId="1" fillId="0" borderId="0" xfId="42" applyFont="1" applyAlignment="1">
      <alignment/>
    </xf>
    <xf numFmtId="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1" fillId="0" borderId="0" xfId="0" applyNumberFormat="1" applyFont="1" applyBorder="1" applyAlignment="1">
      <alignment horizontal="center"/>
    </xf>
    <xf numFmtId="0" fontId="0" fillId="0" borderId="20" xfId="0" applyBorder="1" applyAlignment="1">
      <alignment/>
    </xf>
    <xf numFmtId="0" fontId="0" fillId="0" borderId="0" xfId="0" applyAlignment="1">
      <alignment horizontal="center" vertical="top"/>
    </xf>
    <xf numFmtId="0" fontId="8" fillId="0" borderId="0" xfId="0" applyFont="1" applyAlignment="1">
      <alignment horizontal="center"/>
    </xf>
    <xf numFmtId="182" fontId="1" fillId="0" borderId="11" xfId="42" applyNumberFormat="1" applyFont="1" applyBorder="1" applyAlignment="1">
      <alignment/>
    </xf>
    <xf numFmtId="182" fontId="7" fillId="0" borderId="0" xfId="42" applyNumberFormat="1" applyFont="1" applyBorder="1" applyAlignment="1">
      <alignment/>
    </xf>
    <xf numFmtId="4" fontId="1" fillId="0" borderId="0" xfId="0" applyNumberFormat="1" applyFont="1" applyBorder="1" applyAlignment="1">
      <alignment horizontal="right"/>
    </xf>
    <xf numFmtId="4" fontId="0" fillId="0" borderId="0" xfId="0" applyNumberFormat="1" applyFont="1" applyAlignment="1">
      <alignment/>
    </xf>
    <xf numFmtId="3" fontId="0" fillId="0" borderId="0" xfId="0" applyNumberFormat="1" applyFont="1" applyAlignment="1">
      <alignment/>
    </xf>
    <xf numFmtId="4" fontId="0" fillId="0" borderId="0" xfId="0" applyNumberFormat="1" applyFont="1" applyBorder="1" applyAlignment="1">
      <alignment/>
    </xf>
    <xf numFmtId="0" fontId="5" fillId="0" borderId="0" xfId="0" applyFont="1" applyAlignment="1">
      <alignment/>
    </xf>
    <xf numFmtId="0" fontId="1" fillId="0" borderId="19" xfId="0" applyFont="1" applyBorder="1" applyAlignment="1">
      <alignment/>
    </xf>
    <xf numFmtId="0" fontId="0" fillId="0" borderId="20" xfId="0" applyFont="1" applyBorder="1" applyAlignment="1">
      <alignment/>
    </xf>
    <xf numFmtId="0" fontId="1" fillId="0" borderId="15" xfId="0" applyFont="1" applyBorder="1" applyAlignment="1">
      <alignment horizontal="center"/>
    </xf>
    <xf numFmtId="0" fontId="1" fillId="0" borderId="14" xfId="0" applyFont="1" applyBorder="1" applyAlignment="1">
      <alignment/>
    </xf>
    <xf numFmtId="0" fontId="0" fillId="0" borderId="16" xfId="0" applyBorder="1" applyAlignment="1">
      <alignment/>
    </xf>
    <xf numFmtId="0" fontId="0" fillId="0" borderId="16" xfId="0" applyFont="1" applyBorder="1" applyAlignment="1">
      <alignment/>
    </xf>
    <xf numFmtId="0" fontId="1" fillId="0" borderId="23" xfId="0" applyFont="1" applyBorder="1" applyAlignment="1">
      <alignment/>
    </xf>
    <xf numFmtId="0" fontId="1" fillId="0" borderId="24" xfId="0" applyFont="1" applyBorder="1" applyAlignment="1">
      <alignment/>
    </xf>
    <xf numFmtId="9" fontId="0" fillId="0" borderId="0" xfId="0" applyNumberFormat="1" applyFont="1" applyAlignment="1">
      <alignment/>
    </xf>
    <xf numFmtId="0" fontId="9" fillId="0" borderId="0" xfId="0" applyFont="1" applyAlignment="1" quotePrefix="1">
      <alignment horizontal="right"/>
    </xf>
    <xf numFmtId="0" fontId="9" fillId="0" borderId="0" xfId="0" applyFont="1" applyAlignment="1">
      <alignment horizontal="right"/>
    </xf>
    <xf numFmtId="182" fontId="0" fillId="0" borderId="0" xfId="0" applyNumberFormat="1" applyFont="1" applyAlignment="1">
      <alignment/>
    </xf>
    <xf numFmtId="1" fontId="1" fillId="0" borderId="18" xfId="0" applyNumberFormat="1" applyFont="1" applyBorder="1" applyAlignment="1">
      <alignment horizontal="center"/>
    </xf>
    <xf numFmtId="182" fontId="1" fillId="0" borderId="0" xfId="0" applyNumberFormat="1" applyFont="1" applyAlignment="1">
      <alignment vertical="center"/>
    </xf>
    <xf numFmtId="182" fontId="1" fillId="0" borderId="0" xfId="42" applyNumberFormat="1" applyFont="1" applyAlignment="1">
      <alignment/>
    </xf>
    <xf numFmtId="0" fontId="1" fillId="0" borderId="0" xfId="0" applyFont="1" applyAlignment="1" quotePrefix="1">
      <alignment horizontal="left"/>
    </xf>
    <xf numFmtId="43" fontId="1" fillId="0" borderId="0" xfId="42" applyFont="1" applyAlignment="1">
      <alignment/>
    </xf>
    <xf numFmtId="182" fontId="1" fillId="0" borderId="0" xfId="42" applyNumberFormat="1" applyFont="1" applyBorder="1" applyAlignment="1">
      <alignment/>
    </xf>
    <xf numFmtId="182" fontId="4" fillId="0" borderId="0" xfId="0" applyNumberFormat="1" applyFont="1" applyAlignment="1">
      <alignment vertical="center"/>
    </xf>
    <xf numFmtId="0" fontId="5" fillId="0" borderId="20" xfId="0" applyFont="1" applyBorder="1" applyAlignment="1">
      <alignment/>
    </xf>
    <xf numFmtId="182" fontId="0" fillId="0" borderId="25" xfId="42" applyNumberFormat="1" applyFont="1" applyBorder="1" applyAlignment="1">
      <alignment horizontal="right"/>
    </xf>
    <xf numFmtId="0" fontId="1" fillId="0" borderId="13" xfId="0" applyFont="1" applyBorder="1" applyAlignment="1">
      <alignment horizontal="center"/>
    </xf>
    <xf numFmtId="0" fontId="1" fillId="0" borderId="13" xfId="0" applyFont="1" applyBorder="1" applyAlignment="1" quotePrefix="1">
      <alignment horizontal="center"/>
    </xf>
    <xf numFmtId="0" fontId="9" fillId="0" borderId="13" xfId="0" applyFont="1" applyBorder="1" applyAlignment="1">
      <alignment horizontal="center"/>
    </xf>
    <xf numFmtId="0" fontId="1" fillId="0" borderId="24" xfId="0" applyFont="1" applyBorder="1" applyAlignment="1" quotePrefix="1">
      <alignment horizontal="center"/>
    </xf>
    <xf numFmtId="0" fontId="8" fillId="0" borderId="10" xfId="0" applyFont="1" applyBorder="1" applyAlignment="1">
      <alignment/>
    </xf>
    <xf numFmtId="0" fontId="1" fillId="0" borderId="25" xfId="0" applyFont="1" applyFill="1" applyBorder="1" applyAlignment="1">
      <alignment horizontal="left"/>
    </xf>
    <xf numFmtId="182" fontId="1" fillId="0" borderId="26" xfId="42" applyNumberFormat="1" applyFont="1" applyBorder="1" applyAlignment="1">
      <alignment/>
    </xf>
    <xf numFmtId="0" fontId="1" fillId="0" borderId="25" xfId="0" applyFont="1" applyBorder="1" applyAlignment="1">
      <alignment/>
    </xf>
    <xf numFmtId="182" fontId="1" fillId="0" borderId="21" xfId="42" applyNumberFormat="1" applyFont="1" applyBorder="1" applyAlignment="1">
      <alignment/>
    </xf>
    <xf numFmtId="182" fontId="1" fillId="0" borderId="25" xfId="42" applyNumberFormat="1" applyFont="1" applyBorder="1" applyAlignment="1">
      <alignment/>
    </xf>
    <xf numFmtId="0" fontId="1" fillId="0" borderId="21" xfId="0" applyFont="1" applyBorder="1" applyAlignment="1">
      <alignment/>
    </xf>
    <xf numFmtId="182" fontId="1" fillId="0" borderId="21" xfId="42" applyNumberFormat="1" applyFont="1" applyBorder="1" applyAlignment="1">
      <alignment/>
    </xf>
    <xf numFmtId="182" fontId="1" fillId="0" borderId="11" xfId="0" applyNumberFormat="1" applyFont="1" applyBorder="1" applyAlignment="1">
      <alignment/>
    </xf>
    <xf numFmtId="0" fontId="1" fillId="0" borderId="0" xfId="0" applyFont="1" applyAlignment="1" quotePrefix="1">
      <alignment/>
    </xf>
    <xf numFmtId="0" fontId="1" fillId="0" borderId="27" xfId="0" applyFont="1" applyBorder="1" applyAlignment="1">
      <alignment/>
    </xf>
    <xf numFmtId="0" fontId="1" fillId="0" borderId="17" xfId="0" applyFont="1" applyBorder="1" applyAlignment="1">
      <alignment/>
    </xf>
    <xf numFmtId="182" fontId="1" fillId="0" borderId="28" xfId="42" applyNumberFormat="1" applyFont="1" applyBorder="1" applyAlignment="1">
      <alignment/>
    </xf>
    <xf numFmtId="182" fontId="1" fillId="0" borderId="29" xfId="42" applyNumberFormat="1" applyFont="1" applyBorder="1" applyAlignment="1">
      <alignment/>
    </xf>
    <xf numFmtId="182" fontId="1" fillId="0" borderId="30" xfId="42" applyNumberFormat="1" applyFont="1" applyBorder="1" applyAlignment="1">
      <alignment/>
    </xf>
    <xf numFmtId="0" fontId="0" fillId="0" borderId="0" xfId="0" applyFont="1" applyFill="1" applyBorder="1" applyAlignment="1">
      <alignment horizontal="left" vertical="center"/>
    </xf>
    <xf numFmtId="0" fontId="1" fillId="0" borderId="0" xfId="0" applyFont="1" applyFill="1" applyAlignment="1">
      <alignment/>
    </xf>
    <xf numFmtId="43" fontId="1" fillId="0" borderId="0" xfId="42" applyFont="1" applyBorder="1" applyAlignment="1">
      <alignment/>
    </xf>
    <xf numFmtId="0" fontId="1" fillId="0" borderId="0" xfId="0" applyFont="1" applyFill="1" applyBorder="1" applyAlignment="1">
      <alignment/>
    </xf>
    <xf numFmtId="0" fontId="0" fillId="0" borderId="0" xfId="0" applyFont="1" applyFill="1" applyAlignment="1">
      <alignment/>
    </xf>
    <xf numFmtId="182" fontId="0" fillId="0" borderId="0" xfId="44" applyNumberFormat="1" applyFont="1" applyFill="1" applyAlignment="1">
      <alignment/>
    </xf>
    <xf numFmtId="182" fontId="0" fillId="0" borderId="0" xfId="44" applyNumberFormat="1" applyFont="1" applyFill="1" applyBorder="1" applyAlignment="1">
      <alignment/>
    </xf>
    <xf numFmtId="182" fontId="0" fillId="0" borderId="0" xfId="42" applyNumberFormat="1" applyFont="1" applyFill="1" applyAlignment="1">
      <alignment/>
    </xf>
    <xf numFmtId="182" fontId="0" fillId="0" borderId="0" xfId="42" applyNumberFormat="1" applyFont="1" applyFill="1" applyBorder="1" applyAlignment="1">
      <alignment/>
    </xf>
    <xf numFmtId="43" fontId="1" fillId="0" borderId="11" xfId="42" applyNumberFormat="1" applyFont="1" applyFill="1" applyBorder="1" applyAlignment="1">
      <alignment/>
    </xf>
    <xf numFmtId="43" fontId="1" fillId="0" borderId="0" xfId="42" applyNumberFormat="1" applyFont="1" applyFill="1" applyBorder="1" applyAlignment="1">
      <alignment/>
    </xf>
    <xf numFmtId="0" fontId="1" fillId="0" borderId="0" xfId="0" applyFont="1" applyAlignment="1">
      <alignment horizontal="left"/>
    </xf>
    <xf numFmtId="0" fontId="2" fillId="0" borderId="0" xfId="0" applyFont="1" applyAlignment="1">
      <alignment/>
    </xf>
    <xf numFmtId="3" fontId="0" fillId="0" borderId="22" xfId="0" applyNumberFormat="1" applyFont="1" applyBorder="1" applyAlignment="1">
      <alignment/>
    </xf>
    <xf numFmtId="182" fontId="0" fillId="0" borderId="0" xfId="44" applyNumberFormat="1" applyFont="1" applyAlignment="1">
      <alignment/>
    </xf>
    <xf numFmtId="182" fontId="1" fillId="0" borderId="0" xfId="0" applyNumberFormat="1" applyFont="1" applyAlignment="1">
      <alignment/>
    </xf>
    <xf numFmtId="3" fontId="1" fillId="0" borderId="11" xfId="0" applyNumberFormat="1" applyFont="1" applyBorder="1" applyAlignment="1">
      <alignment/>
    </xf>
    <xf numFmtId="3" fontId="1" fillId="0" borderId="11" xfId="0" applyNumberFormat="1" applyFont="1" applyBorder="1" applyAlignment="1">
      <alignment/>
    </xf>
    <xf numFmtId="0" fontId="13" fillId="0" borderId="0" xfId="0" applyFont="1" applyAlignment="1" quotePrefix="1">
      <alignment horizontal="center"/>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3" fillId="0" borderId="0" xfId="0" applyFont="1" applyAlignment="1">
      <alignment horizontal="center"/>
    </xf>
    <xf numFmtId="0" fontId="13" fillId="0" borderId="25" xfId="0" applyFont="1" applyBorder="1" applyAlignment="1">
      <alignment horizontal="center" vertical="center"/>
    </xf>
    <xf numFmtId="0" fontId="14" fillId="0" borderId="25" xfId="0" applyFont="1" applyBorder="1" applyAlignment="1">
      <alignment/>
    </xf>
    <xf numFmtId="43" fontId="14" fillId="0" borderId="25" xfId="44" applyFont="1" applyBorder="1" applyAlignment="1">
      <alignment/>
    </xf>
    <xf numFmtId="182" fontId="14" fillId="0" borderId="25" xfId="44" applyNumberFormat="1" applyFont="1" applyBorder="1" applyAlignment="1">
      <alignment/>
    </xf>
    <xf numFmtId="0" fontId="13" fillId="0" borderId="25" xfId="0" applyFont="1" applyBorder="1" applyAlignment="1">
      <alignment/>
    </xf>
    <xf numFmtId="182" fontId="13" fillId="0" borderId="18" xfId="44" applyNumberFormat="1" applyFont="1" applyBorder="1" applyAlignment="1">
      <alignment/>
    </xf>
    <xf numFmtId="0" fontId="0" fillId="0" borderId="25" xfId="58" applyFont="1" applyFill="1" applyBorder="1" applyAlignment="1">
      <alignment vertical="center"/>
      <protection/>
    </xf>
    <xf numFmtId="0" fontId="14" fillId="0" borderId="25" xfId="0" applyFont="1" applyBorder="1" applyAlignment="1">
      <alignment horizontal="center"/>
    </xf>
    <xf numFmtId="0" fontId="13" fillId="0" borderId="18" xfId="0" applyFont="1" applyBorder="1" applyAlignment="1">
      <alignment/>
    </xf>
    <xf numFmtId="43" fontId="13" fillId="0" borderId="18" xfId="44" applyFont="1" applyBorder="1" applyAlignment="1">
      <alignment/>
    </xf>
    <xf numFmtId="0" fontId="16" fillId="0" borderId="0" xfId="0" applyFont="1" applyAlignment="1">
      <alignment/>
    </xf>
    <xf numFmtId="0" fontId="13" fillId="0" borderId="25" xfId="0" applyFont="1" applyBorder="1" applyAlignment="1">
      <alignment horizontal="center" vertical="center" wrapText="1"/>
    </xf>
    <xf numFmtId="0" fontId="14" fillId="0" borderId="25" xfId="0" applyFont="1" applyBorder="1" applyAlignment="1">
      <alignment wrapText="1"/>
    </xf>
    <xf numFmtId="182" fontId="14" fillId="0" borderId="25" xfId="44" applyNumberFormat="1" applyFont="1" applyBorder="1" applyAlignment="1">
      <alignment horizontal="center" vertical="center"/>
    </xf>
    <xf numFmtId="43" fontId="0" fillId="33" borderId="0" xfId="44" applyFont="1" applyFill="1" applyAlignment="1">
      <alignment/>
    </xf>
    <xf numFmtId="0" fontId="0" fillId="33" borderId="0" xfId="0" applyFill="1" applyAlignment="1">
      <alignment/>
    </xf>
    <xf numFmtId="0" fontId="14" fillId="0" borderId="0" xfId="0" applyFont="1" applyAlignment="1">
      <alignment/>
    </xf>
    <xf numFmtId="10" fontId="0" fillId="33" borderId="0" xfId="0" applyNumberFormat="1" applyFont="1" applyFill="1" applyAlignment="1">
      <alignment/>
    </xf>
    <xf numFmtId="10" fontId="14" fillId="0" borderId="25" xfId="61" applyNumberFormat="1" applyFont="1" applyBorder="1" applyAlignment="1">
      <alignment/>
    </xf>
    <xf numFmtId="0" fontId="17" fillId="0" borderId="0" xfId="0" applyFont="1" applyAlignment="1">
      <alignment horizontal="center"/>
    </xf>
    <xf numFmtId="0" fontId="14" fillId="0" borderId="25" xfId="0" applyFont="1" applyBorder="1" applyAlignment="1">
      <alignment horizontal="center" vertical="center"/>
    </xf>
    <xf numFmtId="0" fontId="14" fillId="0" borderId="25" xfId="0" applyFont="1" applyBorder="1" applyAlignment="1">
      <alignment horizontal="justify" vertical="justify"/>
    </xf>
    <xf numFmtId="0" fontId="14" fillId="0" borderId="25" xfId="0" applyFont="1" applyBorder="1" applyAlignment="1">
      <alignment horizontal="left"/>
    </xf>
    <xf numFmtId="10" fontId="14" fillId="0" borderId="25" xfId="0" applyNumberFormat="1" applyFont="1" applyBorder="1" applyAlignment="1">
      <alignment horizontal="center" vertical="center"/>
    </xf>
    <xf numFmtId="182" fontId="0" fillId="0" borderId="20" xfId="42" applyNumberFormat="1" applyFont="1" applyBorder="1" applyAlignment="1">
      <alignment/>
    </xf>
    <xf numFmtId="0" fontId="0" fillId="0" borderId="0" xfId="0" applyFont="1" applyFill="1" applyAlignment="1">
      <alignment horizontal="left"/>
    </xf>
    <xf numFmtId="186" fontId="0" fillId="0" borderId="0" xfId="0" applyNumberFormat="1" applyFont="1" applyAlignment="1">
      <alignment/>
    </xf>
    <xf numFmtId="0" fontId="5" fillId="0" borderId="0" xfId="0" applyFont="1" applyBorder="1" applyAlignment="1">
      <alignment/>
    </xf>
    <xf numFmtId="0" fontId="12" fillId="0" borderId="0" xfId="0" applyFont="1" applyBorder="1" applyAlignment="1">
      <alignment/>
    </xf>
    <xf numFmtId="0" fontId="8" fillId="0" borderId="25" xfId="0" applyFont="1" applyBorder="1" applyAlignment="1">
      <alignment/>
    </xf>
    <xf numFmtId="3" fontId="0" fillId="0" borderId="0" xfId="0" applyNumberFormat="1" applyAlignment="1">
      <alignment/>
    </xf>
    <xf numFmtId="3" fontId="21" fillId="0" borderId="0" xfId="0" applyNumberFormat="1" applyFont="1" applyAlignment="1">
      <alignment/>
    </xf>
    <xf numFmtId="3" fontId="20" fillId="0" borderId="0" xfId="0" applyNumberFormat="1" applyFont="1" applyAlignment="1">
      <alignment/>
    </xf>
    <xf numFmtId="0" fontId="20" fillId="0" borderId="0" xfId="0" applyFont="1" applyAlignment="1">
      <alignment/>
    </xf>
    <xf numFmtId="182" fontId="20" fillId="0" borderId="0" xfId="42" applyNumberFormat="1" applyFont="1" applyAlignment="1">
      <alignment/>
    </xf>
    <xf numFmtId="14" fontId="13" fillId="0" borderId="25" xfId="0" applyNumberFormat="1" applyFont="1" applyBorder="1" applyAlignment="1">
      <alignment horizontal="center"/>
    </xf>
    <xf numFmtId="182" fontId="22" fillId="0" borderId="22" xfId="42" applyNumberFormat="1" applyFont="1" applyBorder="1" applyAlignment="1">
      <alignment/>
    </xf>
    <xf numFmtId="182" fontId="22" fillId="0" borderId="13" xfId="42" applyNumberFormat="1" applyFont="1" applyBorder="1" applyAlignment="1">
      <alignment/>
    </xf>
    <xf numFmtId="182" fontId="22" fillId="0" borderId="16" xfId="42" applyNumberFormat="1" applyFont="1" applyBorder="1" applyAlignment="1">
      <alignment/>
    </xf>
    <xf numFmtId="0" fontId="1" fillId="0" borderId="12" xfId="0" applyFont="1" applyBorder="1" applyAlignment="1">
      <alignment/>
    </xf>
    <xf numFmtId="4" fontId="0" fillId="0" borderId="0" xfId="0" applyNumberFormat="1" applyFont="1" applyAlignment="1">
      <alignment/>
    </xf>
    <xf numFmtId="0" fontId="8" fillId="0" borderId="12" xfId="0" applyFont="1" applyBorder="1" applyAlignment="1">
      <alignment/>
    </xf>
    <xf numFmtId="182" fontId="0" fillId="0" borderId="25" xfId="42" applyNumberFormat="1" applyFont="1" applyBorder="1" applyAlignment="1">
      <alignment/>
    </xf>
    <xf numFmtId="182" fontId="8" fillId="0" borderId="27" xfId="42" applyNumberFormat="1" applyFont="1" applyBorder="1" applyAlignment="1">
      <alignment/>
    </xf>
    <xf numFmtId="182" fontId="1" fillId="0" borderId="27" xfId="42" applyNumberFormat="1" applyFont="1" applyBorder="1" applyAlignment="1">
      <alignment/>
    </xf>
    <xf numFmtId="182" fontId="8" fillId="0" borderId="25" xfId="42" applyNumberFormat="1" applyFont="1" applyBorder="1" applyAlignment="1">
      <alignment/>
    </xf>
    <xf numFmtId="0" fontId="1" fillId="0" borderId="15"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4" xfId="0" applyFont="1" applyBorder="1" applyAlignment="1">
      <alignment/>
    </xf>
    <xf numFmtId="0" fontId="1" fillId="0" borderId="23"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0" fillId="0" borderId="14" xfId="0" applyBorder="1" applyAlignment="1">
      <alignment/>
    </xf>
    <xf numFmtId="43" fontId="0" fillId="0" borderId="23" xfId="42" applyFont="1" applyBorder="1" applyAlignment="1">
      <alignment/>
    </xf>
    <xf numFmtId="0" fontId="0" fillId="0" borderId="24" xfId="0" applyBorder="1" applyAlignment="1">
      <alignment/>
    </xf>
    <xf numFmtId="0" fontId="0" fillId="0" borderId="19" xfId="0" applyFont="1" applyBorder="1" applyAlignment="1">
      <alignment/>
    </xf>
    <xf numFmtId="0" fontId="0" fillId="0" borderId="15" xfId="0" applyFont="1" applyBorder="1" applyAlignment="1">
      <alignment/>
    </xf>
    <xf numFmtId="0" fontId="0" fillId="0" borderId="14" xfId="0" applyFont="1" applyBorder="1" applyAlignment="1">
      <alignment/>
    </xf>
    <xf numFmtId="0" fontId="1" fillId="0" borderId="20" xfId="0" applyFont="1" applyBorder="1" applyAlignment="1">
      <alignment/>
    </xf>
    <xf numFmtId="0" fontId="1" fillId="0" borderId="16" xfId="0" applyFont="1" applyBorder="1" applyAlignment="1">
      <alignment/>
    </xf>
    <xf numFmtId="0" fontId="0" fillId="0" borderId="20" xfId="0" applyFont="1" applyBorder="1" applyAlignment="1">
      <alignment vertical="center"/>
    </xf>
    <xf numFmtId="0" fontId="0" fillId="0" borderId="16" xfId="0" applyFont="1" applyBorder="1" applyAlignment="1">
      <alignment vertical="center"/>
    </xf>
    <xf numFmtId="0" fontId="14" fillId="0" borderId="20" xfId="0" applyFont="1" applyFill="1" applyBorder="1" applyAlignment="1">
      <alignment/>
    </xf>
    <xf numFmtId="0" fontId="0" fillId="0" borderId="0" xfId="0" applyBorder="1" applyAlignment="1">
      <alignment/>
    </xf>
    <xf numFmtId="0" fontId="0" fillId="0" borderId="12" xfId="0" applyFont="1" applyBorder="1" applyAlignment="1">
      <alignment horizontal="center"/>
    </xf>
    <xf numFmtId="0" fontId="0" fillId="0" borderId="13" xfId="0" applyFont="1" applyBorder="1" applyAlignment="1">
      <alignment horizontal="center"/>
    </xf>
    <xf numFmtId="43" fontId="0" fillId="0" borderId="19" xfId="42" applyFont="1" applyBorder="1" applyAlignment="1">
      <alignment/>
    </xf>
    <xf numFmtId="182" fontId="0" fillId="0" borderId="20" xfId="42" applyNumberFormat="1" applyFont="1" applyBorder="1" applyAlignment="1">
      <alignment/>
    </xf>
    <xf numFmtId="182" fontId="0" fillId="0" borderId="16" xfId="0" applyNumberFormat="1" applyBorder="1" applyAlignment="1">
      <alignment/>
    </xf>
    <xf numFmtId="182" fontId="0" fillId="0" borderId="16" xfId="42" applyNumberFormat="1" applyFont="1" applyBorder="1" applyAlignment="1">
      <alignment/>
    </xf>
    <xf numFmtId="0" fontId="0" fillId="0" borderId="20" xfId="0" applyFont="1" applyBorder="1" applyAlignment="1">
      <alignment horizontal="center"/>
    </xf>
    <xf numFmtId="182" fontId="1" fillId="0" borderId="16" xfId="42" applyNumberFormat="1" applyFont="1" applyBorder="1" applyAlignment="1">
      <alignment/>
    </xf>
    <xf numFmtId="0" fontId="0" fillId="0" borderId="23" xfId="0" applyFont="1" applyBorder="1" applyAlignment="1">
      <alignment horizontal="center"/>
    </xf>
    <xf numFmtId="0" fontId="1" fillId="0" borderId="25" xfId="0" applyFont="1" applyBorder="1" applyAlignment="1">
      <alignment horizontal="right"/>
    </xf>
    <xf numFmtId="182" fontId="1" fillId="0" borderId="17" xfId="42" applyNumberFormat="1" applyFont="1" applyBorder="1" applyAlignment="1">
      <alignment/>
    </xf>
    <xf numFmtId="0" fontId="0" fillId="0" borderId="17" xfId="0" applyBorder="1" applyAlignment="1">
      <alignment/>
    </xf>
    <xf numFmtId="0" fontId="0" fillId="0" borderId="23" xfId="0" applyBorder="1" applyAlignment="1">
      <alignment/>
    </xf>
    <xf numFmtId="182" fontId="0" fillId="0" borderId="27" xfId="42" applyNumberFormat="1" applyFont="1" applyBorder="1" applyAlignment="1">
      <alignment/>
    </xf>
    <xf numFmtId="0" fontId="0" fillId="0" borderId="21" xfId="0" applyFont="1" applyBorder="1" applyAlignment="1">
      <alignment horizontal="center"/>
    </xf>
    <xf numFmtId="0" fontId="0" fillId="0" borderId="25" xfId="0" applyFont="1" applyBorder="1" applyAlignment="1">
      <alignment horizontal="center"/>
    </xf>
    <xf numFmtId="0" fontId="9" fillId="0" borderId="0" xfId="0" applyFont="1" applyAlignment="1">
      <alignment/>
    </xf>
    <xf numFmtId="0" fontId="5" fillId="0" borderId="0" xfId="0" applyFont="1" applyAlignment="1">
      <alignment/>
    </xf>
    <xf numFmtId="0" fontId="5" fillId="0" borderId="0" xfId="0" applyFont="1" applyAlignment="1">
      <alignment horizontal="center"/>
    </xf>
    <xf numFmtId="43" fontId="1" fillId="0" borderId="16" xfId="0" applyNumberFormat="1" applyFont="1" applyBorder="1" applyAlignment="1">
      <alignment/>
    </xf>
    <xf numFmtId="0" fontId="13" fillId="0" borderId="20" xfId="0" applyFont="1" applyFill="1" applyBorder="1" applyAlignment="1">
      <alignment/>
    </xf>
    <xf numFmtId="0" fontId="1" fillId="0" borderId="22" xfId="0" applyFont="1" applyBorder="1" applyAlignment="1">
      <alignment/>
    </xf>
    <xf numFmtId="182" fontId="1" fillId="0" borderId="15" xfId="0" applyNumberFormat="1" applyFont="1" applyBorder="1" applyAlignment="1">
      <alignment horizontal="center"/>
    </xf>
    <xf numFmtId="182" fontId="1" fillId="0" borderId="14" xfId="0" applyNumberFormat="1" applyFont="1" applyBorder="1" applyAlignment="1">
      <alignment horizontal="center"/>
    </xf>
    <xf numFmtId="182" fontId="1" fillId="0" borderId="16" xfId="42" applyNumberFormat="1" applyFont="1" applyBorder="1" applyAlignment="1">
      <alignment horizontal="right"/>
    </xf>
    <xf numFmtId="186" fontId="0" fillId="0" borderId="0" xfId="42" applyNumberFormat="1" applyFont="1" applyBorder="1" applyAlignment="1">
      <alignment/>
    </xf>
    <xf numFmtId="186" fontId="0" fillId="0" borderId="16" xfId="42" applyNumberFormat="1" applyFont="1" applyBorder="1" applyAlignment="1">
      <alignment/>
    </xf>
    <xf numFmtId="0" fontId="0" fillId="0" borderId="0" xfId="0" applyFont="1" applyBorder="1" applyAlignment="1">
      <alignment horizontal="center"/>
    </xf>
    <xf numFmtId="0" fontId="0" fillId="0" borderId="16" xfId="0" applyFont="1" applyBorder="1" applyAlignment="1">
      <alignment horizontal="center"/>
    </xf>
    <xf numFmtId="182" fontId="1" fillId="0" borderId="16" xfId="0" applyNumberFormat="1" applyFont="1" applyBorder="1" applyAlignment="1">
      <alignment horizontal="center"/>
    </xf>
    <xf numFmtId="182" fontId="1" fillId="0" borderId="22" xfId="42" applyNumberFormat="1" applyFont="1" applyBorder="1" applyAlignment="1">
      <alignment/>
    </xf>
    <xf numFmtId="182" fontId="1" fillId="0" borderId="24" xfId="42" applyNumberFormat="1" applyFont="1" applyBorder="1" applyAlignment="1">
      <alignment/>
    </xf>
    <xf numFmtId="187" fontId="0" fillId="0" borderId="0" xfId="42" applyNumberFormat="1" applyFont="1" applyBorder="1" applyAlignment="1">
      <alignment/>
    </xf>
    <xf numFmtId="182" fontId="1" fillId="0" borderId="13" xfId="42" applyNumberFormat="1" applyFont="1" applyBorder="1" applyAlignment="1">
      <alignment horizontal="right"/>
    </xf>
    <xf numFmtId="182" fontId="1" fillId="0" borderId="10" xfId="42" applyNumberFormat="1" applyFont="1" applyBorder="1" applyAlignment="1">
      <alignment horizontal="right"/>
    </xf>
    <xf numFmtId="182" fontId="1" fillId="0" borderId="12" xfId="42" applyNumberFormat="1" applyFont="1" applyBorder="1" applyAlignment="1">
      <alignment/>
    </xf>
    <xf numFmtId="0" fontId="0" fillId="0" borderId="27" xfId="0" applyFont="1" applyBorder="1" applyAlignment="1">
      <alignment horizontal="center"/>
    </xf>
    <xf numFmtId="0" fontId="0" fillId="0" borderId="27" xfId="0" applyFont="1" applyBorder="1" applyAlignment="1">
      <alignment/>
    </xf>
    <xf numFmtId="0" fontId="0" fillId="0" borderId="17" xfId="0" applyFont="1" applyBorder="1" applyAlignment="1">
      <alignment/>
    </xf>
    <xf numFmtId="0" fontId="0" fillId="0" borderId="21" xfId="0" applyFont="1" applyBorder="1" applyAlignment="1">
      <alignment/>
    </xf>
    <xf numFmtId="43" fontId="1" fillId="0" borderId="21" xfId="0" applyNumberFormat="1" applyFont="1" applyBorder="1" applyAlignment="1">
      <alignment/>
    </xf>
    <xf numFmtId="43" fontId="1" fillId="0" borderId="17" xfId="0" applyNumberFormat="1" applyFont="1" applyBorder="1" applyAlignment="1">
      <alignment/>
    </xf>
    <xf numFmtId="0" fontId="0" fillId="0" borderId="22" xfId="0" applyBorder="1" applyAlignment="1">
      <alignment horizontal="center"/>
    </xf>
    <xf numFmtId="0" fontId="0" fillId="0" borderId="13" xfId="0" applyBorder="1" applyAlignment="1">
      <alignment/>
    </xf>
    <xf numFmtId="0" fontId="0" fillId="0" borderId="10" xfId="0" applyBorder="1" applyAlignment="1">
      <alignment/>
    </xf>
    <xf numFmtId="0" fontId="0" fillId="0" borderId="12" xfId="0" applyBorder="1" applyAlignment="1">
      <alignment/>
    </xf>
    <xf numFmtId="0" fontId="14" fillId="0" borderId="12" xfId="0" applyFont="1" applyFill="1" applyBorder="1" applyAlignment="1">
      <alignment/>
    </xf>
    <xf numFmtId="182" fontId="1" fillId="0" borderId="13" xfId="42" applyNumberFormat="1" applyFont="1" applyBorder="1" applyAlignment="1">
      <alignment/>
    </xf>
    <xf numFmtId="182" fontId="0" fillId="0" borderId="15" xfId="42" applyNumberFormat="1" applyFont="1" applyBorder="1" applyAlignment="1">
      <alignment/>
    </xf>
    <xf numFmtId="0" fontId="0" fillId="0" borderId="13" xfId="0" applyBorder="1" applyAlignment="1">
      <alignment horizontal="center"/>
    </xf>
    <xf numFmtId="182" fontId="1" fillId="0" borderId="21" xfId="0" applyNumberFormat="1" applyFont="1" applyBorder="1" applyAlignment="1">
      <alignment/>
    </xf>
    <xf numFmtId="182" fontId="1" fillId="0" borderId="17" xfId="0" applyNumberFormat="1" applyFont="1" applyBorder="1" applyAlignment="1">
      <alignment/>
    </xf>
    <xf numFmtId="182" fontId="1" fillId="0" borderId="10" xfId="42" applyNumberFormat="1" applyFont="1" applyBorder="1" applyAlignment="1">
      <alignment/>
    </xf>
    <xf numFmtId="3" fontId="0" fillId="0" borderId="10" xfId="42" applyNumberFormat="1" applyFont="1" applyBorder="1" applyAlignment="1">
      <alignment/>
    </xf>
    <xf numFmtId="3" fontId="1" fillId="0" borderId="10" xfId="42" applyNumberFormat="1" applyFont="1" applyBorder="1" applyAlignment="1">
      <alignment/>
    </xf>
    <xf numFmtId="3" fontId="1" fillId="0" borderId="10" xfId="0" applyNumberFormat="1" applyFont="1" applyBorder="1" applyAlignment="1">
      <alignment/>
    </xf>
    <xf numFmtId="0" fontId="0" fillId="0" borderId="21" xfId="0" applyBorder="1" applyAlignment="1">
      <alignment/>
    </xf>
    <xf numFmtId="182" fontId="0" fillId="0" borderId="25" xfId="42" applyNumberFormat="1" applyFont="1" applyBorder="1" applyAlignment="1">
      <alignment/>
    </xf>
    <xf numFmtId="0" fontId="13" fillId="0" borderId="12" xfId="0" applyFont="1" applyFill="1" applyBorder="1" applyAlignment="1">
      <alignment/>
    </xf>
    <xf numFmtId="0" fontId="0" fillId="0" borderId="0" xfId="0" applyBorder="1" applyAlignment="1">
      <alignment horizontal="center"/>
    </xf>
    <xf numFmtId="182" fontId="0" fillId="0" borderId="15" xfId="42" applyNumberFormat="1" applyFont="1" applyBorder="1" applyAlignment="1">
      <alignment/>
    </xf>
    <xf numFmtId="3" fontId="0" fillId="0" borderId="0" xfId="0" applyNumberFormat="1" applyBorder="1" applyAlignment="1">
      <alignment/>
    </xf>
    <xf numFmtId="0" fontId="1" fillId="0" borderId="12" xfId="0" applyFont="1" applyFill="1" applyBorder="1" applyAlignment="1">
      <alignment/>
    </xf>
    <xf numFmtId="0" fontId="0" fillId="0" borderId="0" xfId="0" applyFont="1" applyBorder="1" applyAlignment="1">
      <alignment horizontal="right"/>
    </xf>
    <xf numFmtId="0" fontId="0" fillId="0" borderId="13" xfId="0" applyFont="1" applyBorder="1" applyAlignment="1">
      <alignment horizontal="right"/>
    </xf>
    <xf numFmtId="0" fontId="0" fillId="0" borderId="23" xfId="0" applyFont="1" applyBorder="1" applyAlignment="1">
      <alignment horizontal="right"/>
    </xf>
    <xf numFmtId="0" fontId="0" fillId="0" borderId="10" xfId="0" applyFont="1" applyBorder="1" applyAlignment="1">
      <alignment horizontal="right"/>
    </xf>
    <xf numFmtId="0" fontId="0" fillId="0" borderId="12" xfId="0" applyFont="1" applyBorder="1" applyAlignment="1">
      <alignment horizontal="right"/>
    </xf>
    <xf numFmtId="0" fontId="0" fillId="0" borderId="25" xfId="0" applyFont="1" applyBorder="1" applyAlignment="1">
      <alignment horizontal="right"/>
    </xf>
    <xf numFmtId="0" fontId="0" fillId="0" borderId="21" xfId="0" applyFont="1" applyBorder="1" applyAlignment="1">
      <alignment horizontal="right"/>
    </xf>
    <xf numFmtId="182" fontId="1" fillId="0" borderId="21" xfId="0" applyNumberFormat="1" applyFont="1" applyBorder="1" applyAlignment="1">
      <alignment horizontal="right"/>
    </xf>
    <xf numFmtId="0" fontId="1" fillId="0" borderId="21" xfId="0" applyFont="1" applyBorder="1" applyAlignment="1">
      <alignment horizontal="right"/>
    </xf>
    <xf numFmtId="182" fontId="0" fillId="0" borderId="16" xfId="0" applyNumberFormat="1" applyFont="1" applyBorder="1" applyAlignment="1">
      <alignment horizontal="right"/>
    </xf>
    <xf numFmtId="182" fontId="0" fillId="0" borderId="16" xfId="42" applyNumberFormat="1" applyFont="1" applyBorder="1" applyAlignment="1">
      <alignment horizontal="right"/>
    </xf>
    <xf numFmtId="182" fontId="1" fillId="0" borderId="17" xfId="0" applyNumberFormat="1" applyFont="1" applyBorder="1" applyAlignment="1">
      <alignment horizontal="right"/>
    </xf>
    <xf numFmtId="182" fontId="1" fillId="0" borderId="16" xfId="0" applyNumberFormat="1" applyFont="1" applyBorder="1" applyAlignment="1">
      <alignment horizontal="right"/>
    </xf>
    <xf numFmtId="182" fontId="1" fillId="0" borderId="16" xfId="0" applyNumberFormat="1" applyFont="1" applyBorder="1" applyAlignment="1">
      <alignment/>
    </xf>
    <xf numFmtId="43" fontId="0" fillId="0" borderId="20" xfId="42" applyFont="1" applyBorder="1" applyAlignment="1">
      <alignment/>
    </xf>
    <xf numFmtId="43" fontId="1" fillId="0" borderId="21" xfId="42" applyFont="1" applyBorder="1" applyAlignment="1">
      <alignment horizontal="right"/>
    </xf>
    <xf numFmtId="0" fontId="1" fillId="0" borderId="12" xfId="0" applyFont="1" applyBorder="1" applyAlignment="1">
      <alignment horizontal="right"/>
    </xf>
    <xf numFmtId="182" fontId="0" fillId="0" borderId="21" xfId="42" applyNumberFormat="1" applyFont="1" applyBorder="1" applyAlignment="1">
      <alignment/>
    </xf>
    <xf numFmtId="182" fontId="0" fillId="0" borderId="17" xfId="42" applyNumberFormat="1" applyFont="1" applyBorder="1" applyAlignment="1">
      <alignment/>
    </xf>
    <xf numFmtId="43" fontId="1" fillId="0" borderId="27" xfId="42" applyFont="1" applyBorder="1" applyAlignment="1">
      <alignment/>
    </xf>
    <xf numFmtId="0" fontId="9" fillId="0" borderId="20" xfId="0" applyFont="1" applyBorder="1" applyAlignment="1">
      <alignment/>
    </xf>
    <xf numFmtId="0" fontId="9" fillId="0" borderId="0" xfId="0" applyFont="1" applyBorder="1" applyAlignment="1">
      <alignment/>
    </xf>
    <xf numFmtId="0" fontId="9" fillId="0" borderId="16" xfId="0" applyFont="1" applyBorder="1" applyAlignment="1">
      <alignment/>
    </xf>
    <xf numFmtId="0" fontId="9" fillId="0" borderId="12" xfId="0" applyFont="1" applyBorder="1" applyAlignment="1">
      <alignment horizontal="center"/>
    </xf>
    <xf numFmtId="0" fontId="9" fillId="0" borderId="20" xfId="0" applyFont="1" applyBorder="1" applyAlignment="1">
      <alignment horizontal="center"/>
    </xf>
    <xf numFmtId="182" fontId="9" fillId="0" borderId="0" xfId="42" applyNumberFormat="1" applyFont="1" applyBorder="1" applyAlignment="1">
      <alignment horizontal="center"/>
    </xf>
    <xf numFmtId="182" fontId="9" fillId="0" borderId="16" xfId="42" applyNumberFormat="1" applyFont="1" applyBorder="1" applyAlignment="1">
      <alignment horizontal="center"/>
    </xf>
    <xf numFmtId="182" fontId="9" fillId="0" borderId="20" xfId="42" applyNumberFormat="1" applyFont="1" applyBorder="1" applyAlignment="1">
      <alignment horizontal="center"/>
    </xf>
    <xf numFmtId="0" fontId="5" fillId="0" borderId="16" xfId="0" applyFont="1" applyBorder="1" applyAlignment="1">
      <alignment/>
    </xf>
    <xf numFmtId="0" fontId="5" fillId="0" borderId="20" xfId="0" applyFont="1" applyBorder="1" applyAlignment="1">
      <alignment/>
    </xf>
    <xf numFmtId="0" fontId="5" fillId="0" borderId="12" xfId="0" applyFont="1" applyBorder="1" applyAlignment="1" quotePrefix="1">
      <alignment horizontal="center"/>
    </xf>
    <xf numFmtId="0" fontId="5" fillId="0" borderId="20" xfId="0" applyFont="1" applyBorder="1" applyAlignment="1" quotePrefix="1">
      <alignment horizontal="center"/>
    </xf>
    <xf numFmtId="182" fontId="5" fillId="0" borderId="10" xfId="42" applyNumberFormat="1" applyFont="1" applyBorder="1" applyAlignment="1">
      <alignment/>
    </xf>
    <xf numFmtId="182" fontId="5" fillId="0" borderId="16" xfId="42" applyNumberFormat="1" applyFont="1" applyBorder="1" applyAlignment="1">
      <alignment/>
    </xf>
    <xf numFmtId="182" fontId="5" fillId="0" borderId="20" xfId="42" applyNumberFormat="1" applyFont="1" applyBorder="1" applyAlignment="1">
      <alignment/>
    </xf>
    <xf numFmtId="182" fontId="5" fillId="0" borderId="13" xfId="42" applyNumberFormat="1" applyFont="1" applyBorder="1" applyAlignment="1">
      <alignment/>
    </xf>
    <xf numFmtId="0" fontId="5" fillId="0" borderId="12" xfId="0" applyFont="1" applyBorder="1" applyAlignment="1">
      <alignment horizontal="center"/>
    </xf>
    <xf numFmtId="0" fontId="5" fillId="0" borderId="20" xfId="0" applyFont="1" applyBorder="1" applyAlignment="1">
      <alignment horizontal="center"/>
    </xf>
    <xf numFmtId="182" fontId="9" fillId="0" borderId="0" xfId="42" applyNumberFormat="1" applyFont="1" applyBorder="1" applyAlignment="1">
      <alignment/>
    </xf>
    <xf numFmtId="182" fontId="9" fillId="0" borderId="16" xfId="42" applyNumberFormat="1" applyFont="1" applyBorder="1" applyAlignment="1">
      <alignment/>
    </xf>
    <xf numFmtId="182" fontId="9" fillId="0" borderId="20" xfId="42" applyNumberFormat="1" applyFont="1" applyBorder="1" applyAlignment="1">
      <alignment/>
    </xf>
    <xf numFmtId="0" fontId="5" fillId="0" borderId="20"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43" fontId="5" fillId="0" borderId="20" xfId="42" applyFont="1" applyBorder="1" applyAlignment="1">
      <alignment/>
    </xf>
    <xf numFmtId="182" fontId="5" fillId="0" borderId="12" xfId="42" applyNumberFormat="1" applyFont="1" applyBorder="1" applyAlignment="1">
      <alignment/>
    </xf>
    <xf numFmtId="182" fontId="5" fillId="0" borderId="16" xfId="0" applyNumberFormat="1" applyFont="1" applyBorder="1" applyAlignment="1">
      <alignment/>
    </xf>
    <xf numFmtId="0" fontId="5" fillId="0" borderId="23"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13" xfId="0" applyFont="1" applyBorder="1" applyAlignment="1">
      <alignment horizontal="center"/>
    </xf>
    <xf numFmtId="0" fontId="5" fillId="0" borderId="23" xfId="0" applyFont="1" applyBorder="1" applyAlignment="1">
      <alignment horizontal="center"/>
    </xf>
    <xf numFmtId="182" fontId="5" fillId="0" borderId="22" xfId="42" applyNumberFormat="1" applyFont="1" applyBorder="1" applyAlignment="1">
      <alignment/>
    </xf>
    <xf numFmtId="182" fontId="5" fillId="0" borderId="24" xfId="42" applyNumberFormat="1" applyFont="1" applyBorder="1" applyAlignment="1">
      <alignment/>
    </xf>
    <xf numFmtId="182" fontId="5" fillId="0" borderId="23" xfId="42" applyNumberFormat="1" applyFont="1" applyBorder="1" applyAlignment="1">
      <alignment/>
    </xf>
    <xf numFmtId="0" fontId="5" fillId="0" borderId="24" xfId="0" applyFont="1" applyBorder="1" applyAlignment="1">
      <alignment/>
    </xf>
    <xf numFmtId="0" fontId="9" fillId="0" borderId="27" xfId="0" applyFont="1" applyBorder="1" applyAlignment="1">
      <alignment/>
    </xf>
    <xf numFmtId="0" fontId="9" fillId="0" borderId="21" xfId="0" applyFont="1" applyBorder="1" applyAlignment="1">
      <alignment/>
    </xf>
    <xf numFmtId="0" fontId="9" fillId="0" borderId="17" xfId="0" applyFont="1" applyBorder="1" applyAlignment="1">
      <alignment/>
    </xf>
    <xf numFmtId="0" fontId="9" fillId="0" borderId="25" xfId="0" applyFont="1" applyBorder="1" applyAlignment="1">
      <alignment horizontal="right"/>
    </xf>
    <xf numFmtId="0" fontId="9" fillId="0" borderId="27" xfId="0" applyFont="1" applyBorder="1" applyAlignment="1">
      <alignment horizontal="right"/>
    </xf>
    <xf numFmtId="182" fontId="9" fillId="0" borderId="21" xfId="42" applyNumberFormat="1" applyFont="1" applyBorder="1" applyAlignment="1">
      <alignment/>
    </xf>
    <xf numFmtId="182" fontId="9" fillId="0" borderId="17" xfId="42" applyNumberFormat="1" applyFont="1" applyBorder="1" applyAlignment="1">
      <alignment/>
    </xf>
    <xf numFmtId="182" fontId="9" fillId="0" borderId="27" xfId="42" applyNumberFormat="1" applyFont="1" applyBorder="1" applyAlignment="1">
      <alignment/>
    </xf>
    <xf numFmtId="0" fontId="5" fillId="0" borderId="17" xfId="0" applyFont="1" applyBorder="1" applyAlignment="1">
      <alignment/>
    </xf>
    <xf numFmtId="182" fontId="5" fillId="0" borderId="0" xfId="42" applyNumberFormat="1" applyFont="1" applyBorder="1" applyAlignment="1">
      <alignment/>
    </xf>
    <xf numFmtId="0" fontId="9" fillId="0" borderId="20"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24" fillId="0" borderId="20" xfId="0" applyFont="1" applyFill="1" applyBorder="1" applyAlignment="1">
      <alignment/>
    </xf>
    <xf numFmtId="0" fontId="5" fillId="0" borderId="23" xfId="0" applyFont="1" applyBorder="1" applyAlignment="1">
      <alignment/>
    </xf>
    <xf numFmtId="0" fontId="5" fillId="0" borderId="22" xfId="0" applyFont="1" applyBorder="1" applyAlignment="1">
      <alignment/>
    </xf>
    <xf numFmtId="43" fontId="5" fillId="0" borderId="23" xfId="42" applyFont="1" applyBorder="1" applyAlignment="1">
      <alignment/>
    </xf>
    <xf numFmtId="0" fontId="9" fillId="0" borderId="27" xfId="0" applyFont="1" applyBorder="1" applyAlignment="1">
      <alignment vertical="center"/>
    </xf>
    <xf numFmtId="0" fontId="9" fillId="0" borderId="21" xfId="0" applyFont="1" applyBorder="1" applyAlignment="1">
      <alignment vertical="center"/>
    </xf>
    <xf numFmtId="0" fontId="9" fillId="0" borderId="17" xfId="0" applyFont="1" applyBorder="1" applyAlignment="1">
      <alignment vertical="center"/>
    </xf>
    <xf numFmtId="182" fontId="5" fillId="0" borderId="27" xfId="42" applyNumberFormat="1" applyFont="1" applyBorder="1" applyAlignment="1">
      <alignment/>
    </xf>
    <xf numFmtId="0" fontId="5" fillId="0" borderId="25" xfId="0" applyFont="1" applyBorder="1" applyAlignment="1">
      <alignment horizontal="center"/>
    </xf>
    <xf numFmtId="0" fontId="5" fillId="0" borderId="21" xfId="0" applyFont="1" applyBorder="1" applyAlignment="1">
      <alignment horizontal="center"/>
    </xf>
    <xf numFmtId="43" fontId="9" fillId="0" borderId="21" xfId="42" applyFont="1" applyBorder="1" applyAlignment="1">
      <alignment/>
    </xf>
    <xf numFmtId="0" fontId="9" fillId="0" borderId="0" xfId="0" applyFont="1" applyAlignment="1">
      <alignment vertical="center"/>
    </xf>
    <xf numFmtId="182" fontId="5" fillId="0" borderId="0" xfId="42" applyNumberFormat="1" applyFont="1" applyAlignment="1">
      <alignment/>
    </xf>
    <xf numFmtId="182" fontId="5" fillId="0" borderId="0" xfId="0" applyNumberFormat="1" applyFont="1" applyAlignment="1">
      <alignment/>
    </xf>
    <xf numFmtId="43" fontId="5" fillId="0" borderId="0" xfId="42" applyFont="1" applyAlignment="1">
      <alignment/>
    </xf>
    <xf numFmtId="0" fontId="9" fillId="0" borderId="0" xfId="0" applyFont="1" applyAlignment="1" quotePrefix="1">
      <alignment/>
    </xf>
    <xf numFmtId="0" fontId="9" fillId="0" borderId="0" xfId="0" applyFont="1" applyAlignment="1">
      <alignment/>
    </xf>
    <xf numFmtId="43" fontId="0" fillId="0" borderId="0" xfId="0" applyNumberFormat="1" applyAlignment="1">
      <alignment/>
    </xf>
    <xf numFmtId="9" fontId="0" fillId="0" borderId="0" xfId="0" applyNumberFormat="1" applyAlignment="1">
      <alignment/>
    </xf>
    <xf numFmtId="9" fontId="0" fillId="0" borderId="0" xfId="61" applyFont="1" applyAlignment="1">
      <alignment/>
    </xf>
    <xf numFmtId="0" fontId="0" fillId="0" borderId="0" xfId="0" applyFont="1" applyAlignment="1">
      <alignment horizontal="justify" vertical="justify"/>
    </xf>
    <xf numFmtId="0" fontId="0" fillId="0" borderId="20" xfId="0" applyFont="1" applyBorder="1" applyAlignment="1">
      <alignment/>
    </xf>
    <xf numFmtId="182" fontId="8" fillId="0" borderId="21" xfId="42" applyNumberFormat="1" applyFont="1" applyBorder="1" applyAlignment="1">
      <alignment/>
    </xf>
    <xf numFmtId="182" fontId="1" fillId="0" borderId="25" xfId="0" applyNumberFormat="1" applyFont="1" applyBorder="1" applyAlignment="1">
      <alignment horizontal="center"/>
    </xf>
    <xf numFmtId="0" fontId="1" fillId="0" borderId="25" xfId="0" applyFont="1" applyBorder="1" applyAlignment="1">
      <alignment horizontal="center"/>
    </xf>
    <xf numFmtId="0" fontId="5" fillId="0" borderId="12" xfId="0" applyFont="1" applyFill="1" applyBorder="1" applyAlignment="1">
      <alignment horizontal="center"/>
    </xf>
    <xf numFmtId="0" fontId="66" fillId="0" borderId="12" xfId="0" applyFont="1" applyFill="1" applyBorder="1" applyAlignment="1">
      <alignment horizontal="center"/>
    </xf>
    <xf numFmtId="0" fontId="5" fillId="0" borderId="0" xfId="0" applyFont="1" applyAlignment="1">
      <alignment vertical="top"/>
    </xf>
    <xf numFmtId="0" fontId="5" fillId="0" borderId="0" xfId="0" applyFont="1" applyAlignment="1">
      <alignment horizontal="left" vertical="top"/>
    </xf>
    <xf numFmtId="0" fontId="0" fillId="0" borderId="0" xfId="0" applyAlignment="1">
      <alignment vertical="top"/>
    </xf>
    <xf numFmtId="43" fontId="5" fillId="0" borderId="0" xfId="42" applyFont="1" applyAlignment="1">
      <alignment vertical="top"/>
    </xf>
    <xf numFmtId="0" fontId="0" fillId="0" borderId="0" xfId="0" applyFont="1" applyBorder="1" applyAlignment="1">
      <alignment vertical="center"/>
    </xf>
    <xf numFmtId="0" fontId="0" fillId="0" borderId="0" xfId="0" applyFont="1" applyAlignment="1">
      <alignment horizontal="right" vertical="top"/>
    </xf>
    <xf numFmtId="0" fontId="5" fillId="0" borderId="0" xfId="0" applyFont="1" applyAlignment="1">
      <alignment horizontal="center" vertical="top"/>
    </xf>
    <xf numFmtId="0" fontId="0" fillId="0" borderId="0" xfId="0" applyFont="1" applyAlignment="1">
      <alignment vertical="top"/>
    </xf>
    <xf numFmtId="0" fontId="67" fillId="0" borderId="0" xfId="0" applyFont="1" applyBorder="1" applyAlignment="1">
      <alignment horizontal="center"/>
    </xf>
    <xf numFmtId="0" fontId="68" fillId="0" borderId="0" xfId="0" applyFont="1" applyBorder="1" applyAlignment="1">
      <alignment horizontal="center"/>
    </xf>
    <xf numFmtId="0" fontId="68" fillId="0" borderId="0" xfId="0" applyFont="1" applyBorder="1" applyAlignment="1">
      <alignment/>
    </xf>
    <xf numFmtId="43" fontId="69" fillId="0" borderId="12" xfId="42" applyFont="1" applyBorder="1" applyAlignment="1">
      <alignment/>
    </xf>
    <xf numFmtId="43" fontId="70" fillId="0" borderId="25" xfId="42" applyFont="1" applyBorder="1" applyAlignment="1">
      <alignment/>
    </xf>
    <xf numFmtId="182" fontId="0" fillId="0" borderId="12" xfId="42" applyNumberFormat="1" applyFont="1" applyBorder="1" applyAlignment="1">
      <alignment/>
    </xf>
    <xf numFmtId="182" fontId="0" fillId="0" borderId="15" xfId="42" applyNumberFormat="1" applyFont="1" applyBorder="1" applyAlignment="1">
      <alignment/>
    </xf>
    <xf numFmtId="182" fontId="0" fillId="0" borderId="14" xfId="42" applyNumberFormat="1" applyFont="1" applyBorder="1" applyAlignment="1">
      <alignment/>
    </xf>
    <xf numFmtId="182" fontId="0" fillId="0" borderId="16" xfId="42" applyNumberFormat="1" applyFont="1" applyBorder="1" applyAlignment="1">
      <alignment/>
    </xf>
    <xf numFmtId="182" fontId="0" fillId="0" borderId="24" xfId="42" applyNumberFormat="1" applyFont="1" applyBorder="1" applyAlignment="1">
      <alignment/>
    </xf>
    <xf numFmtId="0" fontId="70" fillId="0" borderId="27" xfId="0" applyFont="1" applyFill="1" applyBorder="1" applyAlignment="1">
      <alignment horizontal="left"/>
    </xf>
    <xf numFmtId="182" fontId="0" fillId="0" borderId="25" xfId="42" applyNumberFormat="1" applyFont="1" applyBorder="1" applyAlignment="1">
      <alignment/>
    </xf>
    <xf numFmtId="0" fontId="70" fillId="0" borderId="27" xfId="0" applyFont="1" applyBorder="1" applyAlignment="1">
      <alignment horizontal="center"/>
    </xf>
    <xf numFmtId="0" fontId="0" fillId="0" borderId="15" xfId="0" applyFont="1" applyBorder="1" applyAlignment="1">
      <alignment/>
    </xf>
    <xf numFmtId="0" fontId="0" fillId="0" borderId="22" xfId="0" applyFont="1" applyBorder="1" applyAlignment="1">
      <alignment/>
    </xf>
    <xf numFmtId="0" fontId="0" fillId="0" borderId="0" xfId="0" applyFont="1" applyBorder="1" applyAlignment="1">
      <alignment/>
    </xf>
    <xf numFmtId="0" fontId="69" fillId="0" borderId="19" xfId="0" applyFont="1" applyBorder="1" applyAlignment="1">
      <alignment/>
    </xf>
    <xf numFmtId="0" fontId="69" fillId="0" borderId="20" xfId="0" applyFont="1" applyBorder="1" applyAlignment="1">
      <alignment/>
    </xf>
    <xf numFmtId="0" fontId="69" fillId="0" borderId="20" xfId="0" applyFont="1" applyFill="1" applyBorder="1" applyAlignment="1">
      <alignment/>
    </xf>
    <xf numFmtId="0" fontId="23"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xf>
    <xf numFmtId="0" fontId="0" fillId="0" borderId="0" xfId="0" applyFont="1" applyAlignment="1">
      <alignment horizontal="left" vertical="top" wrapText="1"/>
    </xf>
    <xf numFmtId="0" fontId="9" fillId="0" borderId="10" xfId="0" applyFont="1" applyBorder="1" applyAlignment="1">
      <alignment horizontal="center" wrapText="1"/>
    </xf>
    <xf numFmtId="0" fontId="9" fillId="0" borderId="13" xfId="0" applyFont="1" applyBorder="1" applyAlignment="1">
      <alignment horizontal="center" wrapText="1"/>
    </xf>
    <xf numFmtId="0" fontId="1" fillId="0" borderId="27" xfId="0" applyFont="1" applyBorder="1" applyAlignment="1">
      <alignment horizontal="center"/>
    </xf>
    <xf numFmtId="0" fontId="1" fillId="0" borderId="21" xfId="0" applyFont="1" applyBorder="1" applyAlignment="1">
      <alignment horizontal="center"/>
    </xf>
    <xf numFmtId="0" fontId="1" fillId="0" borderId="17" xfId="0" applyFont="1" applyBorder="1" applyAlignment="1">
      <alignment horizontal="center"/>
    </xf>
    <xf numFmtId="0" fontId="0" fillId="0" borderId="0" xfId="0" applyFont="1" applyAlignment="1">
      <alignment horizontal="justify" vertical="justify"/>
    </xf>
    <xf numFmtId="49" fontId="0" fillId="0" borderId="0" xfId="0" applyNumberFormat="1" applyFont="1" applyAlignment="1">
      <alignment horizontal="justify" vertical="justify"/>
    </xf>
    <xf numFmtId="0" fontId="1" fillId="0" borderId="0" xfId="0" applyFont="1" applyAlignment="1">
      <alignment horizontal="center"/>
    </xf>
    <xf numFmtId="0" fontId="0" fillId="0" borderId="0" xfId="0" applyFont="1" applyAlignment="1">
      <alignment horizontal="justify"/>
    </xf>
    <xf numFmtId="0" fontId="1" fillId="0" borderId="25" xfId="0" applyFont="1" applyBorder="1" applyAlignment="1">
      <alignment horizontal="center"/>
    </xf>
    <xf numFmtId="0" fontId="0" fillId="0" borderId="0" xfId="0" applyAlignment="1">
      <alignment horizontal="justify"/>
    </xf>
    <xf numFmtId="0" fontId="0" fillId="0" borderId="0" xfId="0" applyFont="1" applyAlignment="1">
      <alignment horizontal="justify" vertical="justify" wrapText="1"/>
    </xf>
    <xf numFmtId="0" fontId="14" fillId="0" borderId="0" xfId="0" applyFont="1" applyAlignment="1">
      <alignment horizontal="justify" vertical="justify"/>
    </xf>
    <xf numFmtId="0" fontId="13" fillId="0" borderId="25" xfId="0" applyFont="1" applyBorder="1" applyAlignment="1">
      <alignment horizontal="center" vertical="center"/>
    </xf>
    <xf numFmtId="0" fontId="13" fillId="0" borderId="25" xfId="0" applyFont="1" applyBorder="1" applyAlignment="1">
      <alignment horizontal="center" vertical="center" wrapText="1"/>
    </xf>
    <xf numFmtId="0" fontId="13" fillId="0" borderId="25" xfId="0" applyFont="1" applyBorder="1" applyAlignment="1">
      <alignment horizontal="center"/>
    </xf>
    <xf numFmtId="43" fontId="14" fillId="0" borderId="25" xfId="44" applyFont="1" applyBorder="1" applyAlignment="1">
      <alignment horizontal="center"/>
    </xf>
    <xf numFmtId="43" fontId="13" fillId="0" borderId="18" xfId="44" applyFont="1" applyBorder="1" applyAlignment="1">
      <alignment horizontal="center"/>
    </xf>
    <xf numFmtId="0" fontId="14" fillId="0" borderId="25" xfId="0" applyFont="1" applyBorder="1" applyAlignment="1">
      <alignment horizontal="center" wrapText="1"/>
    </xf>
    <xf numFmtId="0" fontId="8" fillId="0" borderId="0" xfId="0" applyFont="1" applyAlignment="1">
      <alignment horizontal="center"/>
    </xf>
    <xf numFmtId="0" fontId="45"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xf>
    <xf numFmtId="0" fontId="46" fillId="0" borderId="15" xfId="0" applyFont="1" applyBorder="1" applyAlignment="1">
      <alignment horizontal="center"/>
    </xf>
    <xf numFmtId="0" fontId="46" fillId="0" borderId="19" xfId="0" applyFont="1" applyBorder="1" applyAlignment="1">
      <alignment horizontal="center"/>
    </xf>
    <xf numFmtId="0" fontId="46" fillId="0" borderId="14" xfId="0" applyFont="1" applyBorder="1" applyAlignment="1">
      <alignment horizontal="center"/>
    </xf>
    <xf numFmtId="0" fontId="46" fillId="0" borderId="10" xfId="0" applyFont="1" applyBorder="1" applyAlignment="1">
      <alignment horizontal="center"/>
    </xf>
    <xf numFmtId="0" fontId="47" fillId="0" borderId="14" xfId="0" applyFont="1" applyBorder="1" applyAlignment="1">
      <alignment/>
    </xf>
    <xf numFmtId="0" fontId="47" fillId="0" borderId="13" xfId="0" applyFont="1" applyBorder="1" applyAlignment="1">
      <alignment/>
    </xf>
    <xf numFmtId="0" fontId="47" fillId="0" borderId="22" xfId="0" applyFont="1" applyBorder="1" applyAlignment="1">
      <alignment horizontal="center"/>
    </xf>
    <xf numFmtId="0" fontId="47" fillId="0" borderId="23" xfId="0" applyFont="1" applyBorder="1" applyAlignment="1">
      <alignment/>
    </xf>
    <xf numFmtId="0" fontId="46" fillId="0" borderId="24" xfId="0" applyFont="1" applyBorder="1" applyAlignment="1">
      <alignment horizontal="center"/>
    </xf>
    <xf numFmtId="0" fontId="46" fillId="0" borderId="13" xfId="0" applyFont="1" applyBorder="1" applyAlignment="1">
      <alignment horizontal="center"/>
    </xf>
    <xf numFmtId="0" fontId="46" fillId="0" borderId="23" xfId="0" applyFont="1" applyBorder="1" applyAlignment="1">
      <alignment horizontal="center"/>
    </xf>
    <xf numFmtId="0" fontId="46" fillId="0" borderId="22" xfId="0" applyFont="1" applyBorder="1" applyAlignment="1">
      <alignment horizontal="center"/>
    </xf>
    <xf numFmtId="0" fontId="47" fillId="0" borderId="24" xfId="0" applyFont="1" applyBorder="1" applyAlignment="1">
      <alignment/>
    </xf>
    <xf numFmtId="0" fontId="47" fillId="0" borderId="10" xfId="0" applyFont="1" applyBorder="1" applyAlignment="1">
      <alignment/>
    </xf>
    <xf numFmtId="0" fontId="47" fillId="0" borderId="10" xfId="0" applyFont="1" applyBorder="1" applyAlignment="1">
      <alignment horizontal="center"/>
    </xf>
    <xf numFmtId="0" fontId="47" fillId="0" borderId="19" xfId="0" applyFont="1" applyBorder="1" applyAlignment="1">
      <alignment/>
    </xf>
    <xf numFmtId="182" fontId="47" fillId="0" borderId="15" xfId="42" applyNumberFormat="1" applyFont="1" applyBorder="1" applyAlignment="1">
      <alignment/>
    </xf>
    <xf numFmtId="0" fontId="47" fillId="0" borderId="15" xfId="0" applyFont="1" applyBorder="1" applyAlignment="1">
      <alignment/>
    </xf>
    <xf numFmtId="0" fontId="46" fillId="0" borderId="12" xfId="0" applyFont="1" applyBorder="1" applyAlignment="1">
      <alignment/>
    </xf>
    <xf numFmtId="0" fontId="47" fillId="0" borderId="12" xfId="0" applyFont="1" applyBorder="1" applyAlignment="1">
      <alignment horizontal="center"/>
    </xf>
    <xf numFmtId="0" fontId="47" fillId="0" borderId="20" xfId="0" applyFont="1" applyBorder="1" applyAlignment="1">
      <alignment/>
    </xf>
    <xf numFmtId="182" fontId="46" fillId="0" borderId="0" xfId="42" applyNumberFormat="1" applyFont="1" applyBorder="1" applyAlignment="1">
      <alignment/>
    </xf>
    <xf numFmtId="0" fontId="47" fillId="0" borderId="0" xfId="0" applyFont="1" applyBorder="1" applyAlignment="1">
      <alignment/>
    </xf>
    <xf numFmtId="182" fontId="47" fillId="0" borderId="16" xfId="0" applyNumberFormat="1" applyFont="1" applyBorder="1" applyAlignment="1">
      <alignment/>
    </xf>
    <xf numFmtId="0" fontId="47" fillId="0" borderId="12" xfId="0" applyFont="1" applyBorder="1" applyAlignment="1">
      <alignment/>
    </xf>
    <xf numFmtId="0" fontId="47" fillId="0" borderId="12" xfId="0" applyFont="1" applyBorder="1" applyAlignment="1" quotePrefix="1">
      <alignment horizontal="center"/>
    </xf>
    <xf numFmtId="182" fontId="47" fillId="0" borderId="10" xfId="42" applyNumberFormat="1" applyFont="1" applyBorder="1" applyAlignment="1">
      <alignment/>
    </xf>
    <xf numFmtId="182" fontId="47" fillId="0" borderId="13" xfId="42" applyNumberFormat="1" applyFont="1" applyBorder="1" applyAlignment="1">
      <alignment/>
    </xf>
    <xf numFmtId="182" fontId="47" fillId="0" borderId="0" xfId="42" applyNumberFormat="1" applyFont="1" applyBorder="1" applyAlignment="1">
      <alignment/>
    </xf>
    <xf numFmtId="0" fontId="47" fillId="0" borderId="12" xfId="0" applyFont="1" applyBorder="1" applyAlignment="1">
      <alignment vertical="center"/>
    </xf>
    <xf numFmtId="43" fontId="47" fillId="0" borderId="0" xfId="42" applyFont="1" applyBorder="1" applyAlignment="1">
      <alignment/>
    </xf>
    <xf numFmtId="182" fontId="47" fillId="0" borderId="12" xfId="42" applyNumberFormat="1" applyFont="1" applyBorder="1" applyAlignment="1">
      <alignment/>
    </xf>
    <xf numFmtId="0" fontId="47" fillId="0" borderId="13" xfId="0" applyFont="1" applyBorder="1" applyAlignment="1">
      <alignment horizontal="center"/>
    </xf>
    <xf numFmtId="182" fontId="47" fillId="0" borderId="22" xfId="42" applyNumberFormat="1" applyFont="1" applyBorder="1" applyAlignment="1">
      <alignment/>
    </xf>
    <xf numFmtId="0" fontId="47" fillId="0" borderId="22" xfId="0" applyFont="1" applyBorder="1" applyAlignment="1">
      <alignment/>
    </xf>
    <xf numFmtId="182" fontId="47" fillId="0" borderId="24" xfId="0" applyNumberFormat="1" applyFont="1" applyBorder="1" applyAlignment="1">
      <alignment/>
    </xf>
    <xf numFmtId="0" fontId="46" fillId="0" borderId="25" xfId="0" applyFont="1" applyBorder="1" applyAlignment="1">
      <alignment/>
    </xf>
    <xf numFmtId="0" fontId="46" fillId="0" borderId="25" xfId="0" applyFont="1" applyBorder="1" applyAlignment="1">
      <alignment horizontal="right"/>
    </xf>
    <xf numFmtId="182" fontId="46" fillId="0" borderId="12" xfId="42" applyNumberFormat="1" applyFont="1" applyBorder="1" applyAlignment="1">
      <alignment/>
    </xf>
    <xf numFmtId="182" fontId="46" fillId="0" borderId="10" xfId="42" applyNumberFormat="1" applyFont="1" applyBorder="1" applyAlignment="1">
      <alignment/>
    </xf>
    <xf numFmtId="182" fontId="47" fillId="0" borderId="14" xfId="0" applyNumberFormat="1" applyFont="1" applyBorder="1" applyAlignment="1">
      <alignment/>
    </xf>
    <xf numFmtId="0" fontId="46" fillId="0" borderId="12" xfId="0" applyFont="1" applyBorder="1" applyAlignment="1">
      <alignment vertical="center"/>
    </xf>
    <xf numFmtId="0" fontId="48" fillId="0" borderId="12" xfId="0" applyFont="1" applyFill="1" applyBorder="1" applyAlignment="1">
      <alignment/>
    </xf>
    <xf numFmtId="182" fontId="47" fillId="0" borderId="0" xfId="0" applyNumberFormat="1" applyFont="1" applyAlignment="1">
      <alignment/>
    </xf>
    <xf numFmtId="43" fontId="47" fillId="0" borderId="0" xfId="0" applyNumberFormat="1" applyFont="1" applyAlignment="1">
      <alignment/>
    </xf>
    <xf numFmtId="0" fontId="46" fillId="0" borderId="10" xfId="0" applyFont="1" applyBorder="1" applyAlignment="1">
      <alignment vertical="center"/>
    </xf>
    <xf numFmtId="0" fontId="46" fillId="0" borderId="10" xfId="0" applyFont="1" applyBorder="1" applyAlignment="1">
      <alignment horizontal="right"/>
    </xf>
    <xf numFmtId="182" fontId="46" fillId="0" borderId="14" xfId="42" applyNumberFormat="1" applyFont="1" applyBorder="1" applyAlignment="1">
      <alignment/>
    </xf>
    <xf numFmtId="182" fontId="46" fillId="0" borderId="15" xfId="42" applyNumberFormat="1" applyFont="1" applyBorder="1" applyAlignment="1">
      <alignment/>
    </xf>
    <xf numFmtId="182" fontId="46" fillId="0" borderId="19" xfId="42" applyNumberFormat="1" applyFont="1" applyBorder="1" applyAlignment="1">
      <alignment/>
    </xf>
    <xf numFmtId="182" fontId="46" fillId="0" borderId="17" xfId="0" applyNumberFormat="1" applyFont="1" applyBorder="1" applyAlignment="1">
      <alignment/>
    </xf>
    <xf numFmtId="0" fontId="46" fillId="0" borderId="25" xfId="0" applyFont="1" applyBorder="1" applyAlignment="1">
      <alignment horizontal="center" vertical="center"/>
    </xf>
    <xf numFmtId="0" fontId="46" fillId="0" borderId="27" xfId="0" applyFont="1" applyBorder="1" applyAlignment="1">
      <alignment vertical="center"/>
    </xf>
    <xf numFmtId="0" fontId="47" fillId="0" borderId="21" xfId="0" applyFont="1" applyBorder="1" applyAlignment="1">
      <alignment horizontal="center"/>
    </xf>
    <xf numFmtId="43" fontId="46" fillId="0" borderId="21" xfId="42" applyFont="1" applyBorder="1" applyAlignment="1">
      <alignment/>
    </xf>
    <xf numFmtId="182" fontId="47" fillId="0" borderId="21" xfId="42" applyNumberFormat="1" applyFont="1" applyBorder="1" applyAlignment="1">
      <alignment/>
    </xf>
    <xf numFmtId="43" fontId="47" fillId="0" borderId="21" xfId="42" applyFont="1" applyBorder="1" applyAlignment="1">
      <alignment/>
    </xf>
    <xf numFmtId="182" fontId="47" fillId="0" borderId="27" xfId="42" applyNumberFormat="1" applyFont="1" applyBorder="1" applyAlignment="1">
      <alignment/>
    </xf>
    <xf numFmtId="0" fontId="47" fillId="0" borderId="17" xfId="0" applyFont="1" applyBorder="1" applyAlignment="1">
      <alignment horizontal="center"/>
    </xf>
    <xf numFmtId="0" fontId="47" fillId="0" borderId="17" xfId="0" applyFont="1" applyBorder="1" applyAlignment="1">
      <alignment/>
    </xf>
    <xf numFmtId="182" fontId="47" fillId="0" borderId="0" xfId="42" applyNumberFormat="1" applyFont="1" applyAlignment="1">
      <alignment/>
    </xf>
    <xf numFmtId="0" fontId="47" fillId="0" borderId="0" xfId="0" applyFont="1" applyAlignment="1">
      <alignment horizontal="center"/>
    </xf>
    <xf numFmtId="0" fontId="47" fillId="0" borderId="0" xfId="0" applyFont="1" applyAlignment="1">
      <alignment horizontal="left"/>
    </xf>
    <xf numFmtId="43" fontId="47" fillId="0" borderId="0" xfId="42" applyFont="1" applyAlignment="1">
      <alignment/>
    </xf>
    <xf numFmtId="0" fontId="46" fillId="0" borderId="0" xfId="0" applyFont="1" applyAlignment="1">
      <alignment/>
    </xf>
    <xf numFmtId="0" fontId="47" fillId="0" borderId="0" xfId="0" applyFont="1" applyAlignment="1">
      <alignment horizontal="left"/>
    </xf>
    <xf numFmtId="0" fontId="46" fillId="0" borderId="0" xfId="0" applyFont="1" applyAlignment="1" quotePrefix="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cember%20Accounts%20%20(Board)-2015%20(Aud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Sept-15"/>
      <sheetName val="Circular"/>
      <sheetName val="HYA-15"/>
      <sheetName val="Half yearly Accounts-14"/>
      <sheetName val="Sept-15"/>
      <sheetName val="Sept-14"/>
      <sheetName val="BS (Dec-15)"/>
      <sheetName val="BS"/>
      <sheetName val="Sales Working"/>
      <sheetName val="P working-16"/>
      <sheetName val="PL"/>
      <sheetName val="CF"/>
      <sheetName val="N-1"/>
      <sheetName val="N-2"/>
      <sheetName val="N-3"/>
      <sheetName val="N-4"/>
      <sheetName val="N-5"/>
    </sheetNames>
    <sheetDataSet>
      <sheetData sheetId="15">
        <row r="62">
          <cell r="I62">
            <v>63966627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X57"/>
  <sheetViews>
    <sheetView view="pageBreakPreview" zoomScaleSheetLayoutView="100" workbookViewId="0" topLeftCell="A28">
      <selection activeCell="B44" sqref="B44:L49"/>
    </sheetView>
  </sheetViews>
  <sheetFormatPr defaultColWidth="9.140625" defaultRowHeight="12.75"/>
  <cols>
    <col min="1" max="1" width="2.28125" style="0" customWidth="1"/>
    <col min="2" max="2" width="18.00390625" style="0" customWidth="1"/>
    <col min="3" max="3" width="14.8515625" style="0" customWidth="1"/>
    <col min="4" max="4" width="3.421875" style="0" hidden="1" customWidth="1"/>
    <col min="5" max="5" width="8.421875" style="3" customWidth="1"/>
    <col min="6" max="6" width="1.28515625" style="3" customWidth="1"/>
    <col min="7" max="7" width="15.140625" style="0" customWidth="1"/>
    <col min="8" max="8" width="1.28515625" style="0" customWidth="1"/>
    <col min="9" max="9" width="1.28515625" style="2" customWidth="1"/>
    <col min="10" max="10" width="15.28125" style="0" customWidth="1"/>
    <col min="11" max="11" width="1.28515625" style="0" customWidth="1"/>
    <col min="13" max="13" width="14.140625" style="0" customWidth="1"/>
    <col min="15" max="15" width="12.28125" style="0" bestFit="1" customWidth="1"/>
    <col min="16" max="16" width="29.00390625" style="0" customWidth="1"/>
  </cols>
  <sheetData>
    <row r="1" spans="2:10" ht="19.5" customHeight="1">
      <c r="B1" s="406" t="s">
        <v>325</v>
      </c>
      <c r="C1" s="406"/>
      <c r="D1" s="406"/>
      <c r="E1" s="406"/>
      <c r="F1" s="406"/>
      <c r="G1" s="406"/>
      <c r="H1" s="406"/>
      <c r="I1" s="406"/>
      <c r="J1" s="406"/>
    </row>
    <row r="2" spans="2:10" ht="15.75" customHeight="1">
      <c r="B2" s="407" t="s">
        <v>329</v>
      </c>
      <c r="C2" s="407"/>
      <c r="D2" s="407"/>
      <c r="E2" s="407"/>
      <c r="F2" s="407"/>
      <c r="G2" s="407"/>
      <c r="H2" s="407"/>
      <c r="I2" s="407"/>
      <c r="J2" s="407"/>
    </row>
    <row r="3" spans="2:10" ht="16.5" customHeight="1">
      <c r="B3" s="407" t="s">
        <v>526</v>
      </c>
      <c r="C3" s="407"/>
      <c r="D3" s="407"/>
      <c r="E3" s="407"/>
      <c r="F3" s="407"/>
      <c r="G3" s="407"/>
      <c r="H3" s="407"/>
      <c r="I3" s="407"/>
      <c r="J3" s="407"/>
    </row>
    <row r="4" spans="2:11" ht="12" customHeight="1">
      <c r="B4" s="92" t="s">
        <v>69</v>
      </c>
      <c r="C4" s="201"/>
      <c r="D4" s="95"/>
      <c r="E4" s="13" t="s">
        <v>30</v>
      </c>
      <c r="F4" s="59"/>
      <c r="G4" s="94">
        <v>2015</v>
      </c>
      <c r="H4" s="60"/>
      <c r="I4" s="59"/>
      <c r="J4" s="94">
        <v>2014</v>
      </c>
      <c r="K4" s="208"/>
    </row>
    <row r="5" spans="2:11" ht="12" customHeight="1">
      <c r="B5" s="202"/>
      <c r="C5" s="203"/>
      <c r="D5" s="204"/>
      <c r="E5" s="113"/>
      <c r="F5" s="205"/>
      <c r="G5" s="206" t="s">
        <v>35</v>
      </c>
      <c r="H5" s="207"/>
      <c r="I5" s="209"/>
      <c r="J5" s="206" t="s">
        <v>35</v>
      </c>
      <c r="K5" s="210"/>
    </row>
    <row r="6" spans="2:11" ht="12" customHeight="1">
      <c r="B6" s="303" t="s">
        <v>13</v>
      </c>
      <c r="C6" s="304"/>
      <c r="D6" s="305"/>
      <c r="E6" s="306"/>
      <c r="F6" s="307"/>
      <c r="G6" s="308">
        <f>G7+G8</f>
        <v>110817634</v>
      </c>
      <c r="H6" s="309"/>
      <c r="I6" s="310">
        <f>I7+I8</f>
        <v>0</v>
      </c>
      <c r="J6" s="308">
        <f>J7+J8</f>
        <v>119875442</v>
      </c>
      <c r="K6" s="311"/>
    </row>
    <row r="7" spans="2:11" ht="12" customHeight="1">
      <c r="B7" s="312" t="s">
        <v>44</v>
      </c>
      <c r="C7" s="182"/>
      <c r="D7" s="311"/>
      <c r="E7" s="313" t="s">
        <v>16</v>
      </c>
      <c r="F7" s="314"/>
      <c r="G7" s="315">
        <f>'N-1'!N70</f>
        <v>93457603</v>
      </c>
      <c r="H7" s="316"/>
      <c r="I7" s="317"/>
      <c r="J7" s="315">
        <v>101515411</v>
      </c>
      <c r="K7" s="311"/>
    </row>
    <row r="8" spans="2:11" ht="12" customHeight="1">
      <c r="B8" s="312" t="s">
        <v>58</v>
      </c>
      <c r="C8" s="182"/>
      <c r="D8" s="311"/>
      <c r="E8" s="313" t="s">
        <v>17</v>
      </c>
      <c r="F8" s="314"/>
      <c r="G8" s="318">
        <f>'N-2'!O10</f>
        <v>17360031</v>
      </c>
      <c r="H8" s="316"/>
      <c r="I8" s="317"/>
      <c r="J8" s="318">
        <v>18360031</v>
      </c>
      <c r="K8" s="311"/>
    </row>
    <row r="9" spans="2:11" ht="12" customHeight="1">
      <c r="B9" s="312"/>
      <c r="C9" s="182"/>
      <c r="D9" s="311"/>
      <c r="E9" s="319"/>
      <c r="F9" s="320"/>
      <c r="G9" s="321"/>
      <c r="H9" s="322"/>
      <c r="I9" s="317"/>
      <c r="J9" s="321"/>
      <c r="K9" s="311"/>
    </row>
    <row r="10" spans="2:11" ht="12" customHeight="1">
      <c r="B10" s="303" t="s">
        <v>14</v>
      </c>
      <c r="C10" s="304"/>
      <c r="D10" s="305"/>
      <c r="E10" s="319"/>
      <c r="F10" s="320"/>
      <c r="G10" s="321">
        <f>G11+G12+G13+G14</f>
        <v>239839018</v>
      </c>
      <c r="H10" s="322"/>
      <c r="I10" s="323">
        <f>I11+I12+I13+I14</f>
        <v>0</v>
      </c>
      <c r="J10" s="321">
        <f>J11+J12+J13+J14</f>
        <v>254307043</v>
      </c>
      <c r="K10" s="311"/>
    </row>
    <row r="11" spans="2:11" ht="12" customHeight="1">
      <c r="B11" s="324" t="s">
        <v>59</v>
      </c>
      <c r="C11" s="325"/>
      <c r="D11" s="326"/>
      <c r="E11" s="313" t="s">
        <v>18</v>
      </c>
      <c r="F11" s="314"/>
      <c r="G11" s="315">
        <f>'N-2'!O23</f>
        <v>110735309</v>
      </c>
      <c r="H11" s="316"/>
      <c r="I11" s="327"/>
      <c r="J11" s="315">
        <v>115158046</v>
      </c>
      <c r="K11" s="311"/>
    </row>
    <row r="12" spans="2:11" ht="12" customHeight="1">
      <c r="B12" s="324" t="s">
        <v>60</v>
      </c>
      <c r="C12" s="325"/>
      <c r="D12" s="326"/>
      <c r="E12" s="313" t="s">
        <v>19</v>
      </c>
      <c r="F12" s="314"/>
      <c r="G12" s="328">
        <f>'N-2'!O82</f>
        <v>102778804</v>
      </c>
      <c r="H12" s="316"/>
      <c r="I12" s="327"/>
      <c r="J12" s="328">
        <v>108287068</v>
      </c>
      <c r="K12" s="311"/>
    </row>
    <row r="13" spans="2:11" ht="12" customHeight="1">
      <c r="B13" s="324" t="s">
        <v>56</v>
      </c>
      <c r="C13" s="325"/>
      <c r="D13" s="326"/>
      <c r="E13" s="313" t="s">
        <v>214</v>
      </c>
      <c r="F13" s="314"/>
      <c r="G13" s="328">
        <f>'N-2'!O103</f>
        <v>25067678</v>
      </c>
      <c r="H13" s="316"/>
      <c r="I13" s="327"/>
      <c r="J13" s="328">
        <v>27835021</v>
      </c>
      <c r="K13" s="329"/>
    </row>
    <row r="14" spans="2:16" ht="12" customHeight="1">
      <c r="B14" s="324" t="s">
        <v>192</v>
      </c>
      <c r="C14" s="325"/>
      <c r="D14" s="326"/>
      <c r="E14" s="313" t="s">
        <v>20</v>
      </c>
      <c r="F14" s="314"/>
      <c r="G14" s="318">
        <f>'N-2'!O132</f>
        <v>1257227</v>
      </c>
      <c r="H14" s="316"/>
      <c r="I14" s="327"/>
      <c r="J14" s="318">
        <v>3026908</v>
      </c>
      <c r="K14" s="311"/>
      <c r="M14">
        <v>1259527</v>
      </c>
      <c r="P14" s="19">
        <f>G19-G29</f>
        <v>-687876188.48</v>
      </c>
    </row>
    <row r="15" spans="2:13" ht="12" customHeight="1">
      <c r="B15" s="330"/>
      <c r="C15" s="331"/>
      <c r="D15" s="332"/>
      <c r="E15" s="333"/>
      <c r="F15" s="334"/>
      <c r="G15" s="335"/>
      <c r="H15" s="336"/>
      <c r="I15" s="337"/>
      <c r="J15" s="335"/>
      <c r="K15" s="338"/>
      <c r="M15" s="19">
        <f>M14-G14</f>
        <v>2300</v>
      </c>
    </row>
    <row r="16" spans="2:11" ht="12" customHeight="1">
      <c r="B16" s="339" t="s">
        <v>71</v>
      </c>
      <c r="C16" s="340"/>
      <c r="D16" s="341"/>
      <c r="E16" s="342"/>
      <c r="F16" s="343"/>
      <c r="G16" s="344">
        <f>G6+G10</f>
        <v>350656652</v>
      </c>
      <c r="H16" s="345"/>
      <c r="I16" s="346">
        <f>I6+I10</f>
        <v>0</v>
      </c>
      <c r="J16" s="344">
        <f>J6+J10</f>
        <v>374182485</v>
      </c>
      <c r="K16" s="347"/>
    </row>
    <row r="17" spans="2:11" ht="12" customHeight="1">
      <c r="B17" s="303" t="s">
        <v>70</v>
      </c>
      <c r="C17" s="304"/>
      <c r="D17" s="305"/>
      <c r="E17" s="306"/>
      <c r="F17" s="307"/>
      <c r="G17" s="348"/>
      <c r="H17" s="316"/>
      <c r="I17" s="317"/>
      <c r="J17" s="348"/>
      <c r="K17" s="311"/>
    </row>
    <row r="18" spans="2:11" ht="12" customHeight="1">
      <c r="B18" s="312"/>
      <c r="C18" s="182"/>
      <c r="D18" s="311"/>
      <c r="E18" s="306"/>
      <c r="F18" s="307"/>
      <c r="G18" s="348"/>
      <c r="H18" s="316"/>
      <c r="I18" s="317"/>
      <c r="J18" s="348"/>
      <c r="K18" s="311"/>
    </row>
    <row r="19" spans="2:11" ht="12" customHeight="1">
      <c r="B19" s="349" t="s">
        <v>26</v>
      </c>
      <c r="C19" s="350"/>
      <c r="D19" s="351"/>
      <c r="E19" s="319"/>
      <c r="F19" s="320"/>
      <c r="G19" s="321">
        <f>SUM(G20:G23)</f>
        <v>-255492313.48000002</v>
      </c>
      <c r="H19" s="322"/>
      <c r="I19" s="323">
        <f>SUM(I20:I23)</f>
        <v>0</v>
      </c>
      <c r="J19" s="321">
        <f>SUM(J20:J23)</f>
        <v>-246717048</v>
      </c>
      <c r="K19" s="311"/>
    </row>
    <row r="20" spans="2:11" ht="12" customHeight="1">
      <c r="B20" s="324" t="s">
        <v>52</v>
      </c>
      <c r="C20" s="325"/>
      <c r="D20" s="326"/>
      <c r="E20" s="313" t="s">
        <v>21</v>
      </c>
      <c r="F20" s="314"/>
      <c r="G20" s="315">
        <f>UBS!Q24</f>
        <v>48500000</v>
      </c>
      <c r="H20" s="316"/>
      <c r="I20" s="317"/>
      <c r="J20" s="315">
        <v>48500000</v>
      </c>
      <c r="K20" s="311"/>
    </row>
    <row r="21" spans="2:11" ht="12" customHeight="1">
      <c r="B21" s="324" t="s">
        <v>24</v>
      </c>
      <c r="C21" s="325"/>
      <c r="D21" s="326"/>
      <c r="E21" s="313" t="s">
        <v>22</v>
      </c>
      <c r="F21" s="314"/>
      <c r="G21" s="328">
        <f>UBS!Q25</f>
        <v>106700000</v>
      </c>
      <c r="H21" s="316"/>
      <c r="I21" s="317"/>
      <c r="J21" s="328">
        <v>106700000</v>
      </c>
      <c r="K21" s="311"/>
    </row>
    <row r="22" spans="2:11" ht="12" customHeight="1">
      <c r="B22" s="324" t="s">
        <v>66</v>
      </c>
      <c r="C22" s="325"/>
      <c r="D22" s="326"/>
      <c r="E22" s="319">
        <v>10</v>
      </c>
      <c r="F22" s="320"/>
      <c r="G22" s="328">
        <f>'N-4'!O16</f>
        <v>62841411</v>
      </c>
      <c r="H22" s="316"/>
      <c r="I22" s="317"/>
      <c r="J22" s="328">
        <f>'N-4'!Q16</f>
        <v>65652502</v>
      </c>
      <c r="K22" s="311"/>
    </row>
    <row r="23" spans="2:16" ht="12" customHeight="1">
      <c r="B23" s="324" t="s">
        <v>53</v>
      </c>
      <c r="C23" s="325"/>
      <c r="D23" s="326"/>
      <c r="E23" s="319">
        <v>11</v>
      </c>
      <c r="F23" s="320"/>
      <c r="G23" s="318">
        <f>'N-4'!O40</f>
        <v>-473533724.48</v>
      </c>
      <c r="H23" s="316"/>
      <c r="I23" s="317"/>
      <c r="J23" s="318">
        <f>'N-4'!Q40</f>
        <v>-467569550</v>
      </c>
      <c r="K23" s="311"/>
      <c r="M23" s="19"/>
      <c r="P23" s="19"/>
    </row>
    <row r="24" spans="2:11" ht="12" customHeight="1">
      <c r="B24" s="324"/>
      <c r="C24" s="325"/>
      <c r="D24" s="326"/>
      <c r="E24" s="319"/>
      <c r="F24" s="320"/>
      <c r="G24" s="348"/>
      <c r="H24" s="316"/>
      <c r="I24" s="317"/>
      <c r="J24" s="348"/>
      <c r="K24" s="311"/>
    </row>
    <row r="25" spans="2:11" ht="12" customHeight="1">
      <c r="B25" s="349" t="s">
        <v>68</v>
      </c>
      <c r="C25" s="350"/>
      <c r="D25" s="351"/>
      <c r="E25" s="319"/>
      <c r="F25" s="320"/>
      <c r="G25" s="321">
        <f>SUM(G26:G27)</f>
        <v>173765090</v>
      </c>
      <c r="H25" s="322"/>
      <c r="I25" s="323">
        <f>SUM(I26:I27)</f>
        <v>0</v>
      </c>
      <c r="J25" s="321">
        <f>SUM(J26:J27)</f>
        <v>189024694</v>
      </c>
      <c r="K25" s="311"/>
    </row>
    <row r="26" spans="2:11" ht="12" customHeight="1">
      <c r="B26" s="324" t="s">
        <v>366</v>
      </c>
      <c r="C26" s="325"/>
      <c r="D26" s="326"/>
      <c r="E26" s="319">
        <v>12</v>
      </c>
      <c r="F26" s="320"/>
      <c r="G26" s="315">
        <f>'N-4'!O58</f>
        <v>145742630</v>
      </c>
      <c r="H26" s="316"/>
      <c r="I26" s="317"/>
      <c r="J26" s="315">
        <v>159167458</v>
      </c>
      <c r="K26" s="311"/>
    </row>
    <row r="27" spans="2:11" ht="12" customHeight="1">
      <c r="B27" s="352" t="s">
        <v>501</v>
      </c>
      <c r="C27" s="325"/>
      <c r="D27" s="326"/>
      <c r="E27" s="319">
        <v>13</v>
      </c>
      <c r="F27" s="320"/>
      <c r="G27" s="318">
        <f>'N-4'!O77</f>
        <v>28022460</v>
      </c>
      <c r="H27" s="316"/>
      <c r="I27" s="317"/>
      <c r="J27" s="318">
        <v>29857236</v>
      </c>
      <c r="K27" s="311"/>
    </row>
    <row r="28" spans="2:11" ht="12" customHeight="1">
      <c r="B28" s="324"/>
      <c r="C28" s="325"/>
      <c r="D28" s="326"/>
      <c r="E28" s="319"/>
      <c r="F28" s="320"/>
      <c r="G28" s="348"/>
      <c r="H28" s="316"/>
      <c r="I28" s="317"/>
      <c r="J28" s="348"/>
      <c r="K28" s="311"/>
    </row>
    <row r="29" spans="2:11" ht="12" customHeight="1">
      <c r="B29" s="303" t="s">
        <v>15</v>
      </c>
      <c r="C29" s="304"/>
      <c r="D29" s="305"/>
      <c r="E29" s="319"/>
      <c r="F29" s="320"/>
      <c r="G29" s="321">
        <f>SUM(G30:G35)</f>
        <v>432383875</v>
      </c>
      <c r="H29" s="322"/>
      <c r="I29" s="323">
        <f>SUM(I30:I35)</f>
        <v>0</v>
      </c>
      <c r="J29" s="321">
        <f>SUM(J30:J35)</f>
        <v>431874839</v>
      </c>
      <c r="K29" s="311"/>
    </row>
    <row r="30" spans="2:11" ht="12" customHeight="1">
      <c r="B30" s="312" t="s">
        <v>64</v>
      </c>
      <c r="C30" s="182"/>
      <c r="D30" s="311"/>
      <c r="E30" s="319">
        <v>14</v>
      </c>
      <c r="F30" s="320"/>
      <c r="G30" s="315">
        <f>UBS!Q34</f>
        <v>359535025</v>
      </c>
      <c r="H30" s="316"/>
      <c r="I30" s="327"/>
      <c r="J30" s="315">
        <v>359535025</v>
      </c>
      <c r="K30" s="311"/>
    </row>
    <row r="31" spans="2:19" ht="12" customHeight="1">
      <c r="B31" s="312" t="s">
        <v>61</v>
      </c>
      <c r="C31" s="182"/>
      <c r="D31" s="311"/>
      <c r="E31" s="319">
        <v>15</v>
      </c>
      <c r="F31" s="320"/>
      <c r="G31" s="328">
        <f>'[1]N-4'!$I$62</f>
        <v>63966627</v>
      </c>
      <c r="H31" s="316"/>
      <c r="I31" s="327"/>
      <c r="J31" s="328">
        <v>61357259</v>
      </c>
      <c r="K31" s="311"/>
      <c r="O31" s="409" t="s">
        <v>599</v>
      </c>
      <c r="P31" s="409"/>
      <c r="Q31" s="409"/>
      <c r="R31" s="409"/>
      <c r="S31" s="409"/>
    </row>
    <row r="32" spans="2:11" ht="12" customHeight="1">
      <c r="B32" s="312" t="s">
        <v>65</v>
      </c>
      <c r="C32" s="182"/>
      <c r="D32" s="311"/>
      <c r="E32" s="377">
        <v>16</v>
      </c>
      <c r="F32" s="320"/>
      <c r="G32" s="328">
        <f>'N-4'!O113</f>
        <v>2407064</v>
      </c>
      <c r="H32" s="316"/>
      <c r="I32" s="327"/>
      <c r="J32" s="328">
        <v>3090561</v>
      </c>
      <c r="K32" s="311"/>
    </row>
    <row r="33" spans="2:11" ht="12" customHeight="1">
      <c r="B33" s="324" t="s">
        <v>67</v>
      </c>
      <c r="C33" s="325"/>
      <c r="D33" s="326"/>
      <c r="E33" s="378"/>
      <c r="F33" s="320"/>
      <c r="G33" s="328">
        <f>UBS!Q38</f>
        <v>1091869</v>
      </c>
      <c r="H33" s="316"/>
      <c r="I33" s="317"/>
      <c r="J33" s="328">
        <v>1091869</v>
      </c>
      <c r="K33" s="311"/>
    </row>
    <row r="34" spans="2:11" ht="12" customHeight="1">
      <c r="B34" s="312" t="s">
        <v>62</v>
      </c>
      <c r="C34" s="182"/>
      <c r="D34" s="311"/>
      <c r="E34" s="319">
        <v>17</v>
      </c>
      <c r="F34" s="320"/>
      <c r="G34" s="328">
        <f>'N-4'!O126</f>
        <v>4732709</v>
      </c>
      <c r="H34" s="316"/>
      <c r="I34" s="327"/>
      <c r="J34" s="328">
        <v>6149544</v>
      </c>
      <c r="K34" s="311"/>
    </row>
    <row r="35" spans="2:11" ht="12" customHeight="1">
      <c r="B35" s="312" t="s">
        <v>63</v>
      </c>
      <c r="C35" s="182"/>
      <c r="D35" s="311"/>
      <c r="E35" s="319"/>
      <c r="F35" s="320"/>
      <c r="G35" s="318">
        <f>UBS!Q40</f>
        <v>650581</v>
      </c>
      <c r="H35" s="316"/>
      <c r="I35" s="327"/>
      <c r="J35" s="318">
        <v>650581</v>
      </c>
      <c r="K35" s="311"/>
    </row>
    <row r="36" spans="2:11" ht="12" customHeight="1">
      <c r="B36" s="353"/>
      <c r="C36" s="354"/>
      <c r="D36" s="338"/>
      <c r="E36" s="333"/>
      <c r="F36" s="334"/>
      <c r="G36" s="335"/>
      <c r="H36" s="336"/>
      <c r="I36" s="355"/>
      <c r="J36" s="335"/>
      <c r="K36" s="338"/>
    </row>
    <row r="37" spans="2:15" ht="12" customHeight="1">
      <c r="B37" s="356" t="s">
        <v>72</v>
      </c>
      <c r="C37" s="357"/>
      <c r="D37" s="358"/>
      <c r="E37" s="342"/>
      <c r="F37" s="343"/>
      <c r="G37" s="344">
        <f>G19+G25+G29</f>
        <v>350656651.52</v>
      </c>
      <c r="H37" s="345"/>
      <c r="I37" s="359"/>
      <c r="J37" s="344">
        <f>J19+J25+J29</f>
        <v>374182485</v>
      </c>
      <c r="K37" s="347"/>
      <c r="O37" s="19"/>
    </row>
    <row r="38" spans="2:13" ht="12" customHeight="1">
      <c r="B38" s="339" t="s">
        <v>358</v>
      </c>
      <c r="C38" s="357"/>
      <c r="D38" s="358"/>
      <c r="E38" s="360">
        <v>25</v>
      </c>
      <c r="F38" s="361"/>
      <c r="G38" s="362">
        <f>G19*10/G20</f>
        <v>-52.67882752164949</v>
      </c>
      <c r="H38" s="362"/>
      <c r="I38" s="359"/>
      <c r="J38" s="362">
        <f>J19*10/J20</f>
        <v>-50.86949443298969</v>
      </c>
      <c r="K38" s="347"/>
      <c r="M38" s="19"/>
    </row>
    <row r="39" spans="2:11" ht="12" customHeight="1">
      <c r="B39" s="236"/>
      <c r="C39" s="363"/>
      <c r="D39" s="363"/>
      <c r="E39" s="102"/>
      <c r="F39" s="102"/>
      <c r="G39" s="321"/>
      <c r="H39" s="321"/>
      <c r="I39" s="364"/>
      <c r="J39" s="321"/>
      <c r="K39" s="237"/>
    </row>
    <row r="40" spans="2:11" ht="12" customHeight="1">
      <c r="B40" s="237" t="s">
        <v>33</v>
      </c>
      <c r="C40" s="237"/>
      <c r="D40" s="237"/>
      <c r="E40" s="237"/>
      <c r="F40" s="237"/>
      <c r="G40" s="237"/>
      <c r="H40" s="237"/>
      <c r="I40" s="237"/>
      <c r="J40" s="365"/>
      <c r="K40" s="237"/>
    </row>
    <row r="41" spans="2:11" ht="12" customHeight="1">
      <c r="B41" s="237"/>
      <c r="C41" s="237"/>
      <c r="D41" s="237"/>
      <c r="E41" s="237"/>
      <c r="F41" s="237"/>
      <c r="G41" s="237"/>
      <c r="H41" s="237"/>
      <c r="I41" s="237"/>
      <c r="J41" s="365"/>
      <c r="K41" s="237"/>
    </row>
    <row r="42" spans="2:11" ht="12" customHeight="1">
      <c r="B42" s="237"/>
      <c r="C42" s="237"/>
      <c r="D42" s="237"/>
      <c r="E42" s="237"/>
      <c r="F42" s="237"/>
      <c r="G42" s="365"/>
      <c r="H42" s="365"/>
      <c r="I42" s="237"/>
      <c r="J42" s="365"/>
      <c r="K42" s="237"/>
    </row>
    <row r="43" spans="2:11" ht="12" customHeight="1">
      <c r="B43" s="237"/>
      <c r="C43" s="237"/>
      <c r="D43" s="237"/>
      <c r="E43" s="237"/>
      <c r="F43" s="237"/>
      <c r="G43" s="365"/>
      <c r="H43" s="365"/>
      <c r="I43" s="237"/>
      <c r="J43" s="365"/>
      <c r="K43" s="237"/>
    </row>
    <row r="44" spans="2:24" ht="12" customHeight="1">
      <c r="B44" s="236" t="s">
        <v>613</v>
      </c>
      <c r="C44" s="368"/>
      <c r="D44" s="368"/>
      <c r="E44" s="368" t="s">
        <v>332</v>
      </c>
      <c r="H44" s="1"/>
      <c r="I44" s="236" t="s">
        <v>614</v>
      </c>
      <c r="J44" s="237"/>
      <c r="K44" s="237"/>
      <c r="P44" s="236" t="s">
        <v>613</v>
      </c>
      <c r="Q44" s="368" t="s">
        <v>332</v>
      </c>
      <c r="R44" s="368"/>
      <c r="S44" s="236" t="s">
        <v>592</v>
      </c>
      <c r="T44" s="3"/>
      <c r="W44" s="366"/>
      <c r="X44" s="237"/>
    </row>
    <row r="45" spans="2:24" s="381" customFormat="1" ht="12.75">
      <c r="B45" s="379" t="s">
        <v>283</v>
      </c>
      <c r="E45" s="408" t="s">
        <v>241</v>
      </c>
      <c r="F45" s="408"/>
      <c r="H45" s="379" t="s">
        <v>594</v>
      </c>
      <c r="P45" s="379" t="s">
        <v>283</v>
      </c>
      <c r="Q45" s="408" t="s">
        <v>241</v>
      </c>
      <c r="R45" s="408"/>
      <c r="S45" s="379" t="s">
        <v>591</v>
      </c>
      <c r="T45" s="83"/>
      <c r="W45" s="382"/>
      <c r="X45" s="379"/>
    </row>
    <row r="46" spans="2:11" ht="12" customHeight="1">
      <c r="B46" s="237"/>
      <c r="C46" s="237"/>
      <c r="D46" s="237"/>
      <c r="E46" s="238"/>
      <c r="F46" s="237"/>
      <c r="G46" s="366"/>
      <c r="H46" s="237"/>
      <c r="I46" s="366"/>
      <c r="J46" s="237"/>
      <c r="K46" s="237"/>
    </row>
    <row r="47" spans="2:11" ht="12" customHeight="1">
      <c r="B47" s="237"/>
      <c r="C47" s="237"/>
      <c r="D47" s="237"/>
      <c r="E47" s="238"/>
      <c r="F47" s="237"/>
      <c r="G47" s="366"/>
      <c r="H47" s="237"/>
      <c r="I47" s="366"/>
      <c r="J47" s="237"/>
      <c r="K47" s="237"/>
    </row>
    <row r="48" spans="2:11" ht="12" customHeight="1">
      <c r="B48" s="236" t="s">
        <v>615</v>
      </c>
      <c r="C48" s="237"/>
      <c r="D48" s="237"/>
      <c r="E48" s="238"/>
      <c r="F48" s="237"/>
      <c r="G48" s="366"/>
      <c r="H48" s="237"/>
      <c r="I48" s="366"/>
      <c r="J48" s="237"/>
      <c r="K48" s="237"/>
    </row>
    <row r="49" spans="2:11" ht="12" customHeight="1">
      <c r="B49" s="409" t="s">
        <v>593</v>
      </c>
      <c r="C49" s="409"/>
      <c r="D49" s="409"/>
      <c r="E49" s="409"/>
      <c r="F49" s="409"/>
      <c r="G49" s="237"/>
      <c r="H49" s="237"/>
      <c r="I49" s="366"/>
      <c r="J49" s="237"/>
      <c r="K49" s="237"/>
    </row>
    <row r="50" spans="2:11" ht="12" customHeight="1">
      <c r="B50" s="237"/>
      <c r="C50" s="237"/>
      <c r="D50" s="237"/>
      <c r="F50" s="237"/>
      <c r="G50" s="237" t="s">
        <v>572</v>
      </c>
      <c r="H50" s="237"/>
      <c r="I50" s="237"/>
      <c r="J50" s="237"/>
      <c r="K50" s="237"/>
    </row>
    <row r="51" spans="2:11" ht="12" customHeight="1">
      <c r="B51" s="237"/>
      <c r="C51" s="237"/>
      <c r="D51" s="237"/>
      <c r="E51" s="237"/>
      <c r="F51" s="236"/>
      <c r="G51" s="237" t="s">
        <v>573</v>
      </c>
      <c r="H51" s="237"/>
      <c r="I51" s="236"/>
      <c r="J51" s="237"/>
      <c r="K51" s="237"/>
    </row>
    <row r="52" spans="2:11" ht="8.25" customHeight="1">
      <c r="B52" s="237"/>
      <c r="C52" s="237"/>
      <c r="D52" s="237"/>
      <c r="E52" s="237"/>
      <c r="F52" s="236"/>
      <c r="G52" s="236"/>
      <c r="H52" s="237"/>
      <c r="I52" s="236"/>
      <c r="J52" s="237"/>
      <c r="K52" s="237"/>
    </row>
    <row r="53" spans="2:11" ht="12" customHeight="1">
      <c r="B53" s="237"/>
      <c r="C53" s="237"/>
      <c r="D53" s="237"/>
      <c r="E53" s="237"/>
      <c r="F53" s="236"/>
      <c r="G53" s="236"/>
      <c r="H53" s="237"/>
      <c r="I53" s="236"/>
      <c r="J53" s="237"/>
      <c r="K53" s="237"/>
    </row>
    <row r="54" spans="2:11" ht="9" customHeight="1">
      <c r="B54" s="237"/>
      <c r="C54" s="237"/>
      <c r="D54" s="237"/>
      <c r="E54" s="237"/>
      <c r="F54" s="236"/>
      <c r="G54" s="236"/>
      <c r="H54" s="237"/>
      <c r="I54" s="236"/>
      <c r="J54" s="237"/>
      <c r="K54" s="237"/>
    </row>
    <row r="55" spans="2:11" ht="12" customHeight="1">
      <c r="B55" s="236" t="s">
        <v>28</v>
      </c>
      <c r="C55" s="236"/>
      <c r="D55" s="236"/>
      <c r="F55" s="236" t="s">
        <v>587</v>
      </c>
      <c r="G55" s="236"/>
      <c r="H55" s="237"/>
      <c r="I55" s="236"/>
      <c r="J55" s="237"/>
      <c r="K55" s="237"/>
    </row>
    <row r="56" spans="2:11" ht="12" customHeight="1">
      <c r="B56" s="367" t="s">
        <v>618</v>
      </c>
      <c r="C56" s="236"/>
      <c r="D56" s="236"/>
      <c r="F56" s="236" t="s">
        <v>34</v>
      </c>
      <c r="G56" s="237"/>
      <c r="H56" s="237"/>
      <c r="I56" s="236"/>
      <c r="J56" s="237"/>
      <c r="K56" s="237"/>
    </row>
    <row r="57" spans="2:9" ht="12" customHeight="1">
      <c r="B57" s="126"/>
      <c r="C57" s="1"/>
      <c r="D57" s="1"/>
      <c r="E57" s="1"/>
      <c r="F57" s="1"/>
      <c r="I57"/>
    </row>
  </sheetData>
  <sheetProtection/>
  <mergeCells count="7">
    <mergeCell ref="B49:F49"/>
    <mergeCell ref="B1:J1"/>
    <mergeCell ref="B2:J2"/>
    <mergeCell ref="B3:J3"/>
    <mergeCell ref="E45:F45"/>
    <mergeCell ref="Q45:R45"/>
    <mergeCell ref="O31:S31"/>
  </mergeCells>
  <printOptions horizontalCentered="1"/>
  <pageMargins left="0.95" right="0.45" top="0.75" bottom="0.75" header="0.3" footer="0.3"/>
  <pageSetup firstPageNumber="3" useFirstPageNumber="1" horizontalDpi="600" verticalDpi="600" orientation="portrait" paperSize="9" r:id="rId1"/>
  <headerFooter alignWithMargins="0">
    <oddHeader>&amp;RHAQUE SHAH ALAM MANSUR &amp;&amp; CO.
Chartered Accountants</oddHeader>
    <oddFooter>&amp;C&amp;P</oddFooter>
  </headerFooter>
</worksheet>
</file>

<file path=xl/worksheets/sheet10.xml><?xml version="1.0" encoding="utf-8"?>
<worksheet xmlns="http://schemas.openxmlformats.org/spreadsheetml/2006/main" xmlns:r="http://schemas.openxmlformats.org/officeDocument/2006/relationships">
  <dimension ref="A4:S132"/>
  <sheetViews>
    <sheetView zoomScalePageLayoutView="0" workbookViewId="0" topLeftCell="A10">
      <selection activeCell="B44" sqref="B44"/>
    </sheetView>
  </sheetViews>
  <sheetFormatPr defaultColWidth="9.140625" defaultRowHeight="12.75"/>
  <cols>
    <col min="1" max="1" width="4.7109375" style="6" customWidth="1"/>
    <col min="2" max="2" width="35.7109375" style="18" customWidth="1"/>
    <col min="3" max="3" width="11.7109375" style="18" customWidth="1"/>
    <col min="4" max="4" width="0.9921875" style="18" customWidth="1"/>
    <col min="5" max="5" width="11.7109375" style="18" customWidth="1"/>
    <col min="6" max="6" width="0.9921875" style="18" customWidth="1"/>
    <col min="7" max="7" width="11.7109375" style="18" customWidth="1"/>
    <col min="8" max="8" width="0.85546875" style="18" customWidth="1"/>
    <col min="9" max="9" width="13.140625" style="18" customWidth="1"/>
    <col min="10" max="10" width="0.71875" style="18" customWidth="1"/>
    <col min="11" max="11" width="12.7109375" style="18" customWidth="1"/>
    <col min="12" max="12" width="0.71875" style="18" customWidth="1"/>
    <col min="13" max="13" width="11.7109375" style="18" customWidth="1"/>
    <col min="14" max="14" width="0.85546875" style="18" customWidth="1"/>
    <col min="15" max="15" width="12.7109375" style="18" customWidth="1"/>
    <col min="16" max="16" width="0.71875" style="18" customWidth="1"/>
    <col min="17" max="17" width="14.28125" style="18" customWidth="1"/>
    <col min="18" max="18" width="13.00390625" style="18" customWidth="1"/>
    <col min="19" max="19" width="14.28125" style="18" customWidth="1"/>
    <col min="20" max="20" width="11.00390625" style="18" customWidth="1"/>
    <col min="21" max="16384" width="9.140625" style="18" customWidth="1"/>
  </cols>
  <sheetData>
    <row r="4" spans="1:2" ht="12.75">
      <c r="A4" s="39">
        <v>9</v>
      </c>
      <c r="B4" s="8" t="s">
        <v>321</v>
      </c>
    </row>
    <row r="6" ht="12.75">
      <c r="B6" s="18" t="s">
        <v>134</v>
      </c>
    </row>
    <row r="8" spans="1:2" ht="12.75">
      <c r="A8" s="39" t="s">
        <v>135</v>
      </c>
      <c r="B8" s="8" t="s">
        <v>546</v>
      </c>
    </row>
    <row r="10" ht="12.75">
      <c r="B10" s="18" t="s">
        <v>109</v>
      </c>
    </row>
    <row r="11" spans="3:17" ht="12.75">
      <c r="C11" s="4" t="s">
        <v>298</v>
      </c>
      <c r="D11" s="4"/>
      <c r="E11" s="4" t="s">
        <v>300</v>
      </c>
      <c r="F11" s="4"/>
      <c r="G11" s="4" t="s">
        <v>301</v>
      </c>
      <c r="H11" s="4"/>
      <c r="I11" s="4" t="s">
        <v>302</v>
      </c>
      <c r="J11" s="4"/>
      <c r="K11" s="4" t="s">
        <v>303</v>
      </c>
      <c r="L11" s="4"/>
      <c r="M11" s="4" t="s">
        <v>304</v>
      </c>
      <c r="N11" s="4"/>
      <c r="O11" s="4">
        <v>2015</v>
      </c>
      <c r="P11" s="4"/>
      <c r="Q11" s="4">
        <v>2014</v>
      </c>
    </row>
    <row r="12" spans="2:19" ht="12.75">
      <c r="B12" s="18" t="s">
        <v>268</v>
      </c>
      <c r="C12" s="68">
        <f>C24</f>
        <v>15896855</v>
      </c>
      <c r="D12" s="68"/>
      <c r="E12" s="68">
        <f>E24</f>
        <v>1826171</v>
      </c>
      <c r="F12" s="68"/>
      <c r="G12" s="68">
        <f>G24</f>
        <v>6940095</v>
      </c>
      <c r="H12" s="68"/>
      <c r="I12" s="68">
        <f>I24</f>
        <v>14306372</v>
      </c>
      <c r="J12" s="68"/>
      <c r="K12" s="68">
        <f>K24</f>
        <v>0</v>
      </c>
      <c r="L12" s="68"/>
      <c r="M12" s="68">
        <f>M24</f>
        <v>0</v>
      </c>
      <c r="N12" s="68"/>
      <c r="O12" s="16">
        <v>38969493</v>
      </c>
      <c r="P12" s="68"/>
      <c r="Q12" s="68">
        <v>41780584</v>
      </c>
      <c r="R12" s="103">
        <f>O12-S12</f>
        <v>0</v>
      </c>
      <c r="S12" s="103">
        <f>C12+E12+G12+I12+K12+M12</f>
        <v>38969493</v>
      </c>
    </row>
    <row r="13" spans="2:19" ht="12.75">
      <c r="B13" s="18" t="s">
        <v>269</v>
      </c>
      <c r="C13" s="68">
        <v>1970474</v>
      </c>
      <c r="D13" s="68"/>
      <c r="E13" s="68">
        <v>3277346</v>
      </c>
      <c r="F13" s="68"/>
      <c r="G13" s="68">
        <v>7533148</v>
      </c>
      <c r="H13" s="68"/>
      <c r="I13" s="68">
        <v>5609160</v>
      </c>
      <c r="J13" s="68"/>
      <c r="K13" s="68">
        <v>4626790</v>
      </c>
      <c r="L13" s="68"/>
      <c r="M13" s="68">
        <v>0</v>
      </c>
      <c r="N13" s="68"/>
      <c r="O13" s="16">
        <v>23016918</v>
      </c>
      <c r="P13" s="68"/>
      <c r="Q13" s="68">
        <v>23016918</v>
      </c>
      <c r="R13" s="103">
        <f>O13-S13</f>
        <v>0</v>
      </c>
      <c r="S13" s="103">
        <f>C13+E13+G13+I13+K13+M13</f>
        <v>23016918</v>
      </c>
    </row>
    <row r="14" spans="2:19" ht="12.75">
      <c r="B14" s="18" t="s">
        <v>132</v>
      </c>
      <c r="C14" s="68">
        <v>100000</v>
      </c>
      <c r="D14" s="68"/>
      <c r="E14" s="68">
        <v>100000</v>
      </c>
      <c r="F14" s="68"/>
      <c r="G14" s="68">
        <v>80000</v>
      </c>
      <c r="H14" s="68"/>
      <c r="I14" s="68">
        <v>0</v>
      </c>
      <c r="J14" s="68"/>
      <c r="K14" s="68">
        <v>0</v>
      </c>
      <c r="L14" s="68"/>
      <c r="M14" s="68">
        <v>0</v>
      </c>
      <c r="N14" s="68"/>
      <c r="O14" s="16">
        <v>280000</v>
      </c>
      <c r="P14" s="68"/>
      <c r="Q14" s="68">
        <v>280000</v>
      </c>
      <c r="R14" s="103">
        <f>O14-S14</f>
        <v>0</v>
      </c>
      <c r="S14" s="103">
        <f>C14+E14+G14+I14+K14+M14</f>
        <v>280000</v>
      </c>
    </row>
    <row r="15" spans="2:19" ht="12.75">
      <c r="B15" s="18" t="s">
        <v>133</v>
      </c>
      <c r="C15" s="68">
        <v>0</v>
      </c>
      <c r="D15" s="68"/>
      <c r="E15" s="68">
        <v>0</v>
      </c>
      <c r="F15" s="68"/>
      <c r="G15" s="68">
        <v>575000</v>
      </c>
      <c r="H15" s="68"/>
      <c r="I15" s="68">
        <v>0</v>
      </c>
      <c r="J15" s="68"/>
      <c r="K15" s="68">
        <v>0</v>
      </c>
      <c r="L15" s="68"/>
      <c r="M15" s="68">
        <v>0</v>
      </c>
      <c r="N15" s="68"/>
      <c r="O15" s="16">
        <v>575000</v>
      </c>
      <c r="P15" s="68"/>
      <c r="Q15" s="68">
        <v>575000</v>
      </c>
      <c r="R15" s="103">
        <f>O15-S15</f>
        <v>0</v>
      </c>
      <c r="S15" s="103">
        <f>C15+E15+G15+I15+K15+M15</f>
        <v>575000</v>
      </c>
    </row>
    <row r="16" spans="2:19" ht="13.5" thickBot="1">
      <c r="B16" s="8" t="s">
        <v>320</v>
      </c>
      <c r="C16" s="85">
        <f>SUM(C12:C15)</f>
        <v>17967329</v>
      </c>
      <c r="D16" s="106"/>
      <c r="E16" s="85">
        <f>SUM(E12:E15)</f>
        <v>5203517</v>
      </c>
      <c r="F16" s="106"/>
      <c r="G16" s="85">
        <f>SUM(G12:G15)</f>
        <v>15128243</v>
      </c>
      <c r="H16" s="106"/>
      <c r="I16" s="85">
        <f>SUM(I12:I15)</f>
        <v>19915532</v>
      </c>
      <c r="J16" s="106"/>
      <c r="K16" s="85">
        <f>SUM(K12:K15)</f>
        <v>4626790</v>
      </c>
      <c r="L16" s="106"/>
      <c r="M16" s="85">
        <f>SUM(M12:M15)</f>
        <v>0</v>
      </c>
      <c r="N16" s="106"/>
      <c r="O16" s="85">
        <v>62841411</v>
      </c>
      <c r="P16" s="106"/>
      <c r="Q16" s="85">
        <v>65652502</v>
      </c>
      <c r="R16" s="103">
        <f>O16-S16</f>
        <v>0</v>
      </c>
      <c r="S16" s="103">
        <f>C16+E16+G16+I16+K16+M16</f>
        <v>62841411</v>
      </c>
    </row>
    <row r="17" spans="3:17" ht="13.5" thickTop="1">
      <c r="C17" s="71"/>
      <c r="D17" s="68"/>
      <c r="E17" s="71"/>
      <c r="F17" s="68"/>
      <c r="G17" s="71"/>
      <c r="H17" s="68"/>
      <c r="I17" s="71"/>
      <c r="J17" s="68"/>
      <c r="K17" s="71"/>
      <c r="L17" s="68"/>
      <c r="M17" s="71"/>
      <c r="N17" s="68"/>
      <c r="O17" s="71"/>
      <c r="P17" s="68"/>
      <c r="Q17" s="71"/>
    </row>
    <row r="18" spans="1:2" ht="12.75">
      <c r="A18" s="101" t="s">
        <v>564</v>
      </c>
      <c r="B18" s="8" t="s">
        <v>545</v>
      </c>
    </row>
    <row r="19" spans="1:2" ht="12.75">
      <c r="A19" s="102"/>
      <c r="B19" s="8"/>
    </row>
    <row r="20" spans="1:2" ht="12.75">
      <c r="A20" s="102"/>
      <c r="B20" s="18" t="s">
        <v>279</v>
      </c>
    </row>
    <row r="21" spans="1:19" ht="12.75">
      <c r="A21" s="102"/>
      <c r="C21" s="4" t="s">
        <v>298</v>
      </c>
      <c r="D21" s="4"/>
      <c r="E21" s="4" t="s">
        <v>300</v>
      </c>
      <c r="F21" s="4"/>
      <c r="G21" s="4" t="s">
        <v>301</v>
      </c>
      <c r="H21" s="4"/>
      <c r="I21" s="4" t="s">
        <v>302</v>
      </c>
      <c r="J21" s="4"/>
      <c r="K21" s="4" t="s">
        <v>303</v>
      </c>
      <c r="L21" s="4"/>
      <c r="M21" s="4" t="s">
        <v>304</v>
      </c>
      <c r="N21" s="4"/>
      <c r="O21" s="4">
        <v>2015</v>
      </c>
      <c r="P21" s="4"/>
      <c r="Q21" s="4">
        <v>2014</v>
      </c>
      <c r="S21" s="103"/>
    </row>
    <row r="22" spans="1:19" ht="12.75">
      <c r="A22" s="102"/>
      <c r="B22" s="18" t="s">
        <v>74</v>
      </c>
      <c r="C22" s="68">
        <v>17076675</v>
      </c>
      <c r="E22" s="68">
        <v>2029079</v>
      </c>
      <c r="G22" s="68">
        <v>7711217</v>
      </c>
      <c r="I22" s="68">
        <v>14963613</v>
      </c>
      <c r="J22" s="68">
        <v>0</v>
      </c>
      <c r="K22" s="68">
        <v>0</v>
      </c>
      <c r="L22" s="68"/>
      <c r="M22" s="68">
        <v>0</v>
      </c>
      <c r="N22" s="68"/>
      <c r="O22" s="16">
        <v>41780584</v>
      </c>
      <c r="P22" s="68"/>
      <c r="Q22" s="68">
        <v>44904020</v>
      </c>
      <c r="S22" s="103">
        <f>C22+E22+G22+I22+K22+M22</f>
        <v>41780584</v>
      </c>
    </row>
    <row r="23" spans="1:19" ht="12.75">
      <c r="A23" s="102"/>
      <c r="B23" s="18" t="s">
        <v>137</v>
      </c>
      <c r="C23" s="68">
        <f>'N-1'!M22</f>
        <v>1179820</v>
      </c>
      <c r="D23" s="68"/>
      <c r="E23" s="68">
        <f>'N-1'!M26</f>
        <v>202908</v>
      </c>
      <c r="F23" s="68"/>
      <c r="G23" s="68">
        <f>'N-1'!M30</f>
        <v>771122</v>
      </c>
      <c r="H23" s="68"/>
      <c r="I23" s="68">
        <f>'N-1'!M41</f>
        <v>657241</v>
      </c>
      <c r="J23" s="68"/>
      <c r="K23" s="68">
        <v>0</v>
      </c>
      <c r="L23" s="68"/>
      <c r="M23" s="68">
        <v>0</v>
      </c>
      <c r="N23" s="68"/>
      <c r="O23" s="16">
        <v>2811091</v>
      </c>
      <c r="P23" s="68"/>
      <c r="Q23" s="68">
        <v>3123436</v>
      </c>
      <c r="S23" s="103">
        <f>C23+E23+G23+I23+K23+M23</f>
        <v>2811091</v>
      </c>
    </row>
    <row r="24" spans="1:19" ht="13.5" thickBot="1">
      <c r="A24" s="102"/>
      <c r="B24" s="8" t="s">
        <v>320</v>
      </c>
      <c r="C24" s="85">
        <f>C22-C23</f>
        <v>15896855</v>
      </c>
      <c r="D24" s="106"/>
      <c r="E24" s="85">
        <f>E22-E23</f>
        <v>1826171</v>
      </c>
      <c r="F24" s="106"/>
      <c r="G24" s="85">
        <f>G22-G23</f>
        <v>6940095</v>
      </c>
      <c r="H24" s="106"/>
      <c r="I24" s="85">
        <f>I22-I23</f>
        <v>14306372</v>
      </c>
      <c r="J24" s="106"/>
      <c r="K24" s="85">
        <f>K22-K23</f>
        <v>0</v>
      </c>
      <c r="L24" s="106"/>
      <c r="M24" s="85">
        <f>M22-M23</f>
        <v>0</v>
      </c>
      <c r="N24" s="106"/>
      <c r="O24" s="85">
        <v>38969493</v>
      </c>
      <c r="P24" s="106"/>
      <c r="Q24" s="85">
        <v>41780584</v>
      </c>
      <c r="S24" s="103">
        <f>C24+E24+G24+I24+K24+M24</f>
        <v>38969493</v>
      </c>
    </row>
    <row r="25" spans="1:17" ht="13.5" thickTop="1">
      <c r="A25" s="102"/>
      <c r="C25" s="71"/>
      <c r="D25" s="68"/>
      <c r="E25" s="71"/>
      <c r="F25" s="68"/>
      <c r="G25" s="71"/>
      <c r="H25" s="68"/>
      <c r="I25" s="71"/>
      <c r="J25" s="68"/>
      <c r="K25" s="71"/>
      <c r="L25" s="68"/>
      <c r="M25" s="71"/>
      <c r="N25" s="68"/>
      <c r="O25" s="71"/>
      <c r="P25" s="68"/>
      <c r="Q25" s="71"/>
    </row>
    <row r="26" spans="1:2" ht="12.75">
      <c r="A26" s="101" t="s">
        <v>565</v>
      </c>
      <c r="B26" s="8" t="s">
        <v>322</v>
      </c>
    </row>
    <row r="27" ht="12.75">
      <c r="B27" s="8"/>
    </row>
    <row r="28" ht="12.75">
      <c r="B28" s="18" t="s">
        <v>136</v>
      </c>
    </row>
    <row r="30" spans="1:2" ht="12.75">
      <c r="A30" s="39" t="s">
        <v>138</v>
      </c>
      <c r="B30" s="8" t="s">
        <v>600</v>
      </c>
    </row>
    <row r="32" ht="12.75">
      <c r="B32" s="18" t="s">
        <v>109</v>
      </c>
    </row>
    <row r="33" spans="3:17" ht="12.75">
      <c r="C33" s="4" t="s">
        <v>298</v>
      </c>
      <c r="D33" s="4"/>
      <c r="E33" s="4" t="s">
        <v>300</v>
      </c>
      <c r="F33" s="4"/>
      <c r="G33" s="4" t="s">
        <v>301</v>
      </c>
      <c r="H33" s="4"/>
      <c r="I33" s="4" t="s">
        <v>302</v>
      </c>
      <c r="J33" s="4"/>
      <c r="K33" s="4" t="s">
        <v>303</v>
      </c>
      <c r="L33" s="4"/>
      <c r="M33" s="4" t="s">
        <v>304</v>
      </c>
      <c r="N33" s="4"/>
      <c r="O33" s="4">
        <v>2015</v>
      </c>
      <c r="P33" s="4"/>
      <c r="Q33" s="4">
        <v>2014</v>
      </c>
    </row>
    <row r="34" spans="3:17" ht="12.75">
      <c r="C34" s="4"/>
      <c r="D34" s="4"/>
      <c r="E34" s="4"/>
      <c r="F34" s="4"/>
      <c r="G34" s="4"/>
      <c r="H34" s="4"/>
      <c r="I34" s="4"/>
      <c r="J34" s="4"/>
      <c r="K34" s="4"/>
      <c r="L34" s="4"/>
      <c r="M34" s="4"/>
      <c r="N34" s="4"/>
      <c r="O34" s="4"/>
      <c r="P34" s="4"/>
      <c r="Q34" s="4"/>
    </row>
    <row r="35" spans="2:19" ht="12.75">
      <c r="B35" s="18" t="s">
        <v>273</v>
      </c>
      <c r="C35" s="68">
        <v>1689865</v>
      </c>
      <c r="D35" s="68"/>
      <c r="E35" s="68">
        <v>-71122841</v>
      </c>
      <c r="F35" s="68"/>
      <c r="G35" s="68">
        <v>-73016270</v>
      </c>
      <c r="H35" s="68"/>
      <c r="I35" s="68">
        <v>-95237763</v>
      </c>
      <c r="J35" s="68"/>
      <c r="K35" s="68">
        <v>-148044134</v>
      </c>
      <c r="L35" s="68"/>
      <c r="M35" s="68">
        <v>-81838407</v>
      </c>
      <c r="N35" s="68"/>
      <c r="O35" s="16">
        <v>-467569550</v>
      </c>
      <c r="P35" s="68"/>
      <c r="Q35" s="68">
        <v>-466432783</v>
      </c>
      <c r="R35" s="103">
        <f aca="true" t="shared" si="0" ref="R35:R40">O35-S35</f>
        <v>0</v>
      </c>
      <c r="S35" s="103">
        <f aca="true" t="shared" si="1" ref="S35:S40">C35+E35+G35+I35+K35+M35</f>
        <v>-467569550</v>
      </c>
    </row>
    <row r="36" spans="2:19" ht="12.75">
      <c r="B36" s="18" t="s">
        <v>288</v>
      </c>
      <c r="C36" s="68">
        <f>UPL!E32</f>
        <v>-1209540</v>
      </c>
      <c r="D36" s="68"/>
      <c r="E36" s="68">
        <f>UPL!G32</f>
        <v>2451568</v>
      </c>
      <c r="F36" s="68"/>
      <c r="G36" s="68">
        <f>UPL!I32</f>
        <v>-840636</v>
      </c>
      <c r="H36" s="68"/>
      <c r="I36" s="68">
        <f>UPL!K32</f>
        <v>-4093485</v>
      </c>
      <c r="J36" s="68"/>
      <c r="K36" s="68">
        <f>UPL!M32</f>
        <v>-3353134</v>
      </c>
      <c r="L36" s="68"/>
      <c r="M36" s="68">
        <f>UPL!O32</f>
        <v>-1730038</v>
      </c>
      <c r="N36" s="68"/>
      <c r="O36" s="16">
        <v>-8775265.47999999</v>
      </c>
      <c r="P36" s="68"/>
      <c r="Q36" s="68">
        <v>-6391695</v>
      </c>
      <c r="R36" s="103">
        <f t="shared" si="0"/>
        <v>-0.47999998927116394</v>
      </c>
      <c r="S36" s="103">
        <f t="shared" si="1"/>
        <v>-8775265</v>
      </c>
    </row>
    <row r="37" spans="2:19" ht="12.75">
      <c r="B37" s="18" t="s">
        <v>393</v>
      </c>
      <c r="C37" s="68">
        <f>C23</f>
        <v>1179820</v>
      </c>
      <c r="D37" s="68"/>
      <c r="E37" s="68">
        <f>E23</f>
        <v>202908</v>
      </c>
      <c r="F37" s="68"/>
      <c r="G37" s="68">
        <f>G23</f>
        <v>771122</v>
      </c>
      <c r="H37" s="68"/>
      <c r="I37" s="68">
        <f>I23</f>
        <v>657241</v>
      </c>
      <c r="J37" s="68"/>
      <c r="K37" s="68"/>
      <c r="L37" s="68"/>
      <c r="M37" s="68"/>
      <c r="N37" s="68"/>
      <c r="O37" s="68">
        <v>2811091</v>
      </c>
      <c r="P37" s="68"/>
      <c r="Q37" s="68">
        <v>3123436</v>
      </c>
      <c r="R37" s="103">
        <f t="shared" si="0"/>
        <v>0</v>
      </c>
      <c r="S37" s="103">
        <f t="shared" si="1"/>
        <v>2811091</v>
      </c>
    </row>
    <row r="38" spans="2:19" ht="12.75">
      <c r="B38" s="18" t="s">
        <v>404</v>
      </c>
      <c r="C38" s="68"/>
      <c r="D38" s="68"/>
      <c r="E38" s="68"/>
      <c r="F38" s="68"/>
      <c r="G38" s="68"/>
      <c r="H38" s="68"/>
      <c r="I38" s="68"/>
      <c r="J38" s="68"/>
      <c r="K38" s="68"/>
      <c r="L38" s="68"/>
      <c r="M38" s="68"/>
      <c r="N38" s="68"/>
      <c r="O38" s="68">
        <v>0</v>
      </c>
      <c r="P38" s="68"/>
      <c r="Q38" s="68">
        <v>2131492</v>
      </c>
      <c r="R38" s="103">
        <f t="shared" si="0"/>
        <v>0</v>
      </c>
      <c r="S38" s="103">
        <f t="shared" si="1"/>
        <v>0</v>
      </c>
    </row>
    <row r="39" spans="2:19" ht="12.75">
      <c r="B39" s="18" t="s">
        <v>511</v>
      </c>
      <c r="C39" s="68"/>
      <c r="D39" s="68"/>
      <c r="E39" s="68"/>
      <c r="F39" s="68"/>
      <c r="G39" s="68"/>
      <c r="H39" s="68"/>
      <c r="I39" s="68"/>
      <c r="J39" s="68"/>
      <c r="K39" s="68"/>
      <c r="L39" s="68"/>
      <c r="M39" s="68"/>
      <c r="N39" s="68"/>
      <c r="O39" s="68">
        <v>0</v>
      </c>
      <c r="P39" s="68"/>
      <c r="Q39" s="68"/>
      <c r="R39" s="103">
        <f t="shared" si="0"/>
        <v>0</v>
      </c>
      <c r="S39" s="103">
        <f t="shared" si="1"/>
        <v>0</v>
      </c>
    </row>
    <row r="40" spans="2:19" ht="13.5" thickBot="1">
      <c r="B40" s="8" t="s">
        <v>320</v>
      </c>
      <c r="C40" s="85">
        <f>SUM(C35:C38)</f>
        <v>1660145</v>
      </c>
      <c r="D40" s="106"/>
      <c r="E40" s="85">
        <f>SUM(E35:E38)</f>
        <v>-68468365</v>
      </c>
      <c r="F40" s="106"/>
      <c r="G40" s="85">
        <f>SUM(G35:G38)</f>
        <v>-73085784</v>
      </c>
      <c r="H40" s="106"/>
      <c r="I40" s="85">
        <f>SUM(I35:I38)</f>
        <v>-98674007</v>
      </c>
      <c r="J40" s="106"/>
      <c r="K40" s="85">
        <f>SUM(K35:K38)</f>
        <v>-151397268</v>
      </c>
      <c r="L40" s="106"/>
      <c r="M40" s="85">
        <f>SUM(M35:M38)</f>
        <v>-83568445</v>
      </c>
      <c r="N40" s="106"/>
      <c r="O40" s="85">
        <v>-473533724.48</v>
      </c>
      <c r="P40" s="106"/>
      <c r="Q40" s="85">
        <v>-467569550</v>
      </c>
      <c r="R40" s="103">
        <f t="shared" si="0"/>
        <v>-0.48000001907348633</v>
      </c>
      <c r="S40" s="103">
        <f t="shared" si="1"/>
        <v>-473533724</v>
      </c>
    </row>
    <row r="41" spans="2:17" ht="39.75" customHeight="1" thickTop="1">
      <c r="B41" s="415"/>
      <c r="C41" s="415"/>
      <c r="D41" s="415"/>
      <c r="E41" s="415"/>
      <c r="F41" s="415"/>
      <c r="G41" s="415"/>
      <c r="H41" s="415"/>
      <c r="I41" s="415"/>
      <c r="J41" s="415"/>
      <c r="K41" s="415"/>
      <c r="L41" s="415"/>
      <c r="M41" s="415"/>
      <c r="N41" s="415"/>
      <c r="O41" s="415"/>
      <c r="P41" s="415"/>
      <c r="Q41" s="415"/>
    </row>
    <row r="42" spans="2:17" ht="12.75">
      <c r="B42" s="372"/>
      <c r="C42" s="372"/>
      <c r="D42" s="372"/>
      <c r="E42" s="372"/>
      <c r="F42" s="372"/>
      <c r="G42" s="372"/>
      <c r="H42" s="372"/>
      <c r="I42" s="372"/>
      <c r="J42" s="372"/>
      <c r="K42" s="372"/>
      <c r="L42" s="372"/>
      <c r="M42" s="372"/>
      <c r="N42" s="372"/>
      <c r="O42" s="372"/>
      <c r="P42" s="372"/>
      <c r="Q42" s="372"/>
    </row>
    <row r="43" spans="2:17" ht="12.75">
      <c r="B43" s="372"/>
      <c r="C43" s="372"/>
      <c r="D43" s="372"/>
      <c r="E43" s="372"/>
      <c r="F43" s="372"/>
      <c r="G43" s="372"/>
      <c r="H43" s="372"/>
      <c r="I43" s="372"/>
      <c r="J43" s="372"/>
      <c r="K43" s="372"/>
      <c r="L43" s="372"/>
      <c r="M43" s="372"/>
      <c r="N43" s="372"/>
      <c r="O43" s="372"/>
      <c r="P43" s="372"/>
      <c r="Q43" s="372"/>
    </row>
    <row r="44" spans="2:17" ht="12.75">
      <c r="B44" s="372"/>
      <c r="C44" s="372"/>
      <c r="D44" s="372"/>
      <c r="E44" s="372"/>
      <c r="F44" s="372"/>
      <c r="G44" s="372"/>
      <c r="H44" s="372"/>
      <c r="I44" s="372"/>
      <c r="J44" s="372"/>
      <c r="K44" s="372"/>
      <c r="L44" s="372"/>
      <c r="M44" s="372"/>
      <c r="N44" s="372"/>
      <c r="O44" s="372"/>
      <c r="P44" s="372"/>
      <c r="Q44" s="372"/>
    </row>
    <row r="45" spans="2:17" ht="12.75">
      <c r="B45" s="372"/>
      <c r="C45" s="372"/>
      <c r="D45" s="372"/>
      <c r="E45" s="372"/>
      <c r="F45" s="372"/>
      <c r="G45" s="372"/>
      <c r="H45" s="372"/>
      <c r="I45" s="372"/>
      <c r="J45" s="372"/>
      <c r="K45" s="372"/>
      <c r="L45" s="372"/>
      <c r="M45" s="372"/>
      <c r="N45" s="372"/>
      <c r="O45" s="372"/>
      <c r="P45" s="372"/>
      <c r="Q45" s="372"/>
    </row>
    <row r="46" spans="2:17" ht="12.75">
      <c r="B46" s="372"/>
      <c r="C46" s="372"/>
      <c r="D46" s="372"/>
      <c r="E46" s="372"/>
      <c r="F46" s="372"/>
      <c r="G46" s="372"/>
      <c r="H46" s="372"/>
      <c r="I46" s="372"/>
      <c r="J46" s="372"/>
      <c r="K46" s="372"/>
      <c r="L46" s="372"/>
      <c r="M46" s="372"/>
      <c r="N46" s="372"/>
      <c r="O46" s="372"/>
      <c r="P46" s="372"/>
      <c r="Q46" s="372"/>
    </row>
    <row r="47" spans="2:17" ht="12.75">
      <c r="B47" s="372"/>
      <c r="C47" s="372"/>
      <c r="D47" s="372"/>
      <c r="E47" s="372"/>
      <c r="F47" s="372"/>
      <c r="G47" s="372"/>
      <c r="H47" s="372"/>
      <c r="I47" s="372"/>
      <c r="J47" s="372"/>
      <c r="K47" s="372"/>
      <c r="L47" s="372"/>
      <c r="M47" s="372"/>
      <c r="N47" s="372"/>
      <c r="O47" s="372"/>
      <c r="P47" s="372"/>
      <c r="Q47" s="372"/>
    </row>
    <row r="48" spans="2:17" ht="12.75">
      <c r="B48" s="372"/>
      <c r="C48" s="372"/>
      <c r="D48" s="372"/>
      <c r="E48" s="372"/>
      <c r="F48" s="372"/>
      <c r="G48" s="372"/>
      <c r="H48" s="372"/>
      <c r="I48" s="372"/>
      <c r="J48" s="372"/>
      <c r="K48" s="372"/>
      <c r="L48" s="372"/>
      <c r="M48" s="372"/>
      <c r="N48" s="372"/>
      <c r="O48" s="372"/>
      <c r="P48" s="372"/>
      <c r="Q48" s="372"/>
    </row>
    <row r="49" spans="2:17" ht="12.75">
      <c r="B49" s="372"/>
      <c r="C49" s="372"/>
      <c r="D49" s="372"/>
      <c r="E49" s="372"/>
      <c r="F49" s="372"/>
      <c r="G49" s="372"/>
      <c r="H49" s="372"/>
      <c r="I49" s="372"/>
      <c r="J49" s="372"/>
      <c r="K49" s="372"/>
      <c r="L49" s="372"/>
      <c r="M49" s="372"/>
      <c r="N49" s="372"/>
      <c r="O49" s="372"/>
      <c r="P49" s="372"/>
      <c r="Q49" s="372"/>
    </row>
    <row r="50" spans="2:17" ht="12.75">
      <c r="B50" s="372"/>
      <c r="C50" s="372"/>
      <c r="D50" s="372"/>
      <c r="E50" s="372"/>
      <c r="F50" s="372"/>
      <c r="G50" s="372"/>
      <c r="H50" s="372"/>
      <c r="I50" s="372"/>
      <c r="J50" s="372"/>
      <c r="K50" s="372"/>
      <c r="L50" s="372"/>
      <c r="M50" s="372"/>
      <c r="N50" s="372"/>
      <c r="O50" s="372"/>
      <c r="P50" s="372"/>
      <c r="Q50" s="372"/>
    </row>
    <row r="51" spans="1:17" ht="12.75">
      <c r="A51" s="39" t="s">
        <v>139</v>
      </c>
      <c r="B51" s="8" t="s">
        <v>544</v>
      </c>
      <c r="Q51" s="103"/>
    </row>
    <row r="52" spans="1:2" ht="12.75">
      <c r="A52" s="39"/>
      <c r="B52" s="8"/>
    </row>
    <row r="53" spans="1:17" ht="12.75">
      <c r="A53" s="39"/>
      <c r="B53" s="18" t="s">
        <v>109</v>
      </c>
      <c r="M53" s="181"/>
      <c r="Q53" s="103"/>
    </row>
    <row r="54" spans="1:17" ht="12.75">
      <c r="A54" s="39"/>
      <c r="B54" s="8"/>
      <c r="C54" s="4" t="s">
        <v>298</v>
      </c>
      <c r="D54" s="4"/>
      <c r="E54" s="4" t="s">
        <v>300</v>
      </c>
      <c r="F54" s="4"/>
      <c r="G54" s="4" t="s">
        <v>301</v>
      </c>
      <c r="H54" s="4"/>
      <c r="I54" s="4" t="s">
        <v>302</v>
      </c>
      <c r="J54" s="4"/>
      <c r="K54" s="4" t="s">
        <v>303</v>
      </c>
      <c r="L54" s="4"/>
      <c r="M54" s="4" t="s">
        <v>304</v>
      </c>
      <c r="O54" s="4">
        <v>2015</v>
      </c>
      <c r="P54" s="4"/>
      <c r="Q54" s="4">
        <v>2014</v>
      </c>
    </row>
    <row r="55" spans="1:18" ht="12.75">
      <c r="A55" s="39"/>
      <c r="B55" s="18" t="s">
        <v>497</v>
      </c>
      <c r="C55" s="67">
        <v>0</v>
      </c>
      <c r="D55" s="67"/>
      <c r="E55" s="67">
        <v>5012489</v>
      </c>
      <c r="F55" s="67"/>
      <c r="G55" s="67">
        <v>5791141</v>
      </c>
      <c r="H55" s="67"/>
      <c r="I55" s="67">
        <v>7512480</v>
      </c>
      <c r="J55" s="67"/>
      <c r="K55" s="67">
        <v>450120</v>
      </c>
      <c r="L55" s="67"/>
      <c r="M55" s="67">
        <v>25012780</v>
      </c>
      <c r="O55" s="68">
        <v>43779010</v>
      </c>
      <c r="Q55" s="68">
        <v>57203838</v>
      </c>
      <c r="R55" s="103"/>
    </row>
    <row r="56" spans="1:18" ht="12.75">
      <c r="A56" s="39"/>
      <c r="B56" s="18" t="s">
        <v>498</v>
      </c>
      <c r="C56" s="67">
        <v>0</v>
      </c>
      <c r="D56" s="67"/>
      <c r="E56" s="67">
        <v>18012450</v>
      </c>
      <c r="F56" s="67"/>
      <c r="G56" s="67">
        <v>14050360</v>
      </c>
      <c r="H56" s="67"/>
      <c r="I56" s="67">
        <v>14512950</v>
      </c>
      <c r="J56" s="67"/>
      <c r="K56" s="67">
        <v>0</v>
      </c>
      <c r="L56" s="67"/>
      <c r="M56" s="67">
        <v>10624240</v>
      </c>
      <c r="O56" s="68">
        <v>57200000</v>
      </c>
      <c r="Q56" s="68">
        <v>57200000</v>
      </c>
      <c r="R56" s="103"/>
    </row>
    <row r="57" spans="1:18" ht="12.75">
      <c r="A57" s="39"/>
      <c r="B57" s="18" t="s">
        <v>499</v>
      </c>
      <c r="C57" s="67">
        <v>0</v>
      </c>
      <c r="D57" s="67"/>
      <c r="E57" s="187">
        <v>7024125</v>
      </c>
      <c r="F57" s="187"/>
      <c r="G57" s="187">
        <v>8045960</v>
      </c>
      <c r="H57" s="187"/>
      <c r="I57" s="187">
        <f>9087125+1093950</f>
        <v>10181075</v>
      </c>
      <c r="J57" s="187"/>
      <c r="K57" s="187"/>
      <c r="L57" s="187"/>
      <c r="M57" s="187">
        <v>19512460</v>
      </c>
      <c r="N57" s="188"/>
      <c r="O57" s="189">
        <v>44763620</v>
      </c>
      <c r="P57" s="188"/>
      <c r="Q57" s="189">
        <v>44763620</v>
      </c>
      <c r="R57" s="103"/>
    </row>
    <row r="58" spans="1:18" ht="13.5" thickBot="1">
      <c r="A58" s="39"/>
      <c r="B58" s="18" t="s">
        <v>40</v>
      </c>
      <c r="C58" s="67">
        <f>SUM(C55:C57)</f>
        <v>0</v>
      </c>
      <c r="D58" s="67">
        <f aca="true" t="shared" si="2" ref="D58:M58">SUM(D55:D57)</f>
        <v>0</v>
      </c>
      <c r="E58" s="186">
        <f t="shared" si="2"/>
        <v>30049064</v>
      </c>
      <c r="F58" s="186">
        <f t="shared" si="2"/>
        <v>0</v>
      </c>
      <c r="G58" s="186">
        <f t="shared" si="2"/>
        <v>27887461</v>
      </c>
      <c r="H58" s="186">
        <f t="shared" si="2"/>
        <v>0</v>
      </c>
      <c r="I58" s="186">
        <f t="shared" si="2"/>
        <v>32206505</v>
      </c>
      <c r="J58" s="186">
        <f t="shared" si="2"/>
        <v>0</v>
      </c>
      <c r="K58" s="186">
        <f t="shared" si="2"/>
        <v>450120</v>
      </c>
      <c r="L58" s="186">
        <f t="shared" si="2"/>
        <v>0</v>
      </c>
      <c r="M58" s="186">
        <f t="shared" si="2"/>
        <v>55149480</v>
      </c>
      <c r="O58" s="85">
        <v>145742630</v>
      </c>
      <c r="Q58" s="85">
        <f>SUM(Q55:Q57)</f>
        <v>159167458</v>
      </c>
      <c r="R58" s="103"/>
    </row>
    <row r="59" spans="1:19" ht="13.5" thickTop="1">
      <c r="A59" s="39"/>
      <c r="C59" s="67"/>
      <c r="D59" s="67"/>
      <c r="E59" s="67"/>
      <c r="F59" s="67"/>
      <c r="G59" s="67"/>
      <c r="H59" s="67"/>
      <c r="I59" s="67"/>
      <c r="J59" s="67"/>
      <c r="K59" s="67"/>
      <c r="L59" s="67"/>
      <c r="M59" s="67"/>
      <c r="N59" s="67"/>
      <c r="O59" s="67"/>
      <c r="P59" s="67"/>
      <c r="Q59" s="67"/>
      <c r="R59" s="67"/>
      <c r="S59" s="67"/>
    </row>
    <row r="60" spans="1:19" ht="12.75">
      <c r="A60" s="39"/>
      <c r="B60" s="8"/>
      <c r="S60" s="18">
        <f>C60+E60+G60+I60+K60+M60</f>
        <v>0</v>
      </c>
    </row>
    <row r="61" spans="2:17" ht="27" customHeight="1">
      <c r="B61" s="415" t="s">
        <v>345</v>
      </c>
      <c r="C61" s="415"/>
      <c r="D61" s="415"/>
      <c r="E61" s="415"/>
      <c r="F61" s="415"/>
      <c r="G61" s="415"/>
      <c r="H61" s="415"/>
      <c r="I61" s="415"/>
      <c r="J61" s="415"/>
      <c r="K61" s="415"/>
      <c r="L61" s="415"/>
      <c r="M61" s="415"/>
      <c r="N61" s="415"/>
      <c r="O61" s="415"/>
      <c r="P61" s="415"/>
      <c r="Q61" s="415"/>
    </row>
    <row r="62" ht="12.75">
      <c r="B62" s="18" t="s">
        <v>347</v>
      </c>
    </row>
    <row r="63" ht="12.75">
      <c r="B63" s="18" t="s">
        <v>346</v>
      </c>
    </row>
    <row r="64" ht="12.75">
      <c r="B64" s="18" t="s">
        <v>348</v>
      </c>
    </row>
    <row r="65" ht="12.75">
      <c r="B65" s="18" t="s">
        <v>349</v>
      </c>
    </row>
    <row r="66" ht="12.75">
      <c r="B66" s="18" t="s">
        <v>350</v>
      </c>
    </row>
    <row r="67" ht="5.25" customHeight="1"/>
    <row r="68" spans="2:17" ht="27" customHeight="1">
      <c r="B68" s="415" t="s">
        <v>402</v>
      </c>
      <c r="C68" s="415"/>
      <c r="D68" s="415"/>
      <c r="E68" s="415"/>
      <c r="F68" s="415"/>
      <c r="G68" s="415"/>
      <c r="H68" s="415"/>
      <c r="I68" s="415"/>
      <c r="J68" s="415"/>
      <c r="K68" s="415"/>
      <c r="L68" s="415"/>
      <c r="M68" s="415"/>
      <c r="N68" s="415"/>
      <c r="O68" s="415"/>
      <c r="P68" s="415"/>
      <c r="Q68" s="415"/>
    </row>
    <row r="69" ht="6" customHeight="1"/>
    <row r="70" spans="2:17" ht="12.75">
      <c r="B70" s="415" t="s">
        <v>612</v>
      </c>
      <c r="C70" s="415"/>
      <c r="D70" s="415"/>
      <c r="E70" s="415"/>
      <c r="F70" s="415"/>
      <c r="G70" s="415"/>
      <c r="H70" s="415"/>
      <c r="I70" s="415"/>
      <c r="J70" s="415"/>
      <c r="K70" s="415"/>
      <c r="L70" s="415"/>
      <c r="M70" s="415"/>
      <c r="N70" s="415"/>
      <c r="O70" s="415"/>
      <c r="P70" s="415"/>
      <c r="Q70" s="415"/>
    </row>
    <row r="73" spans="1:2" ht="12.75">
      <c r="A73" s="39" t="s">
        <v>37</v>
      </c>
      <c r="B73" s="133" t="s">
        <v>543</v>
      </c>
    </row>
    <row r="74" spans="2:17" ht="12.75">
      <c r="B74" s="133"/>
      <c r="O74" s="4">
        <v>2015</v>
      </c>
      <c r="P74" s="4"/>
      <c r="Q74" s="4">
        <v>2014</v>
      </c>
    </row>
    <row r="75" spans="2:19" ht="12.75">
      <c r="B75" s="180" t="s">
        <v>512</v>
      </c>
      <c r="C75" s="68">
        <v>-827880</v>
      </c>
      <c r="D75" s="68"/>
      <c r="E75" s="68">
        <v>4819873</v>
      </c>
      <c r="F75" s="68"/>
      <c r="G75" s="68">
        <v>4777410</v>
      </c>
      <c r="H75" s="68"/>
      <c r="I75" s="68">
        <v>6316687</v>
      </c>
      <c r="J75" s="68"/>
      <c r="K75" s="68">
        <v>9424089</v>
      </c>
      <c r="L75" s="68"/>
      <c r="M75" s="68">
        <v>5347057</v>
      </c>
      <c r="O75" s="68">
        <v>29857236</v>
      </c>
      <c r="Q75" s="68">
        <v>31747749</v>
      </c>
      <c r="R75" s="103">
        <f>S75-O75</f>
        <v>0</v>
      </c>
      <c r="S75" s="103">
        <f>C75+E75+G75+I75+K75+M75</f>
        <v>29857236</v>
      </c>
    </row>
    <row r="76" spans="2:19" ht="12.75">
      <c r="B76" s="180" t="s">
        <v>502</v>
      </c>
      <c r="C76" s="68">
        <f>-UPL!E30</f>
        <v>-653239</v>
      </c>
      <c r="D76" s="68"/>
      <c r="E76" s="68">
        <f>-UPL!G30</f>
        <v>-91237</v>
      </c>
      <c r="F76" s="68"/>
      <c r="G76" s="68">
        <f>-UPL!I30</f>
        <v>-352496</v>
      </c>
      <c r="H76" s="68"/>
      <c r="I76" s="68">
        <f>-UPL!K30</f>
        <v>-120654</v>
      </c>
      <c r="J76" s="68"/>
      <c r="K76" s="68">
        <f>-UPL!M30</f>
        <v>-478834</v>
      </c>
      <c r="L76" s="68"/>
      <c r="M76" s="68">
        <f>-UPL!O30</f>
        <v>-138316</v>
      </c>
      <c r="O76" s="68">
        <v>-1834776</v>
      </c>
      <c r="Q76" s="68">
        <f>-PL!J29</f>
        <v>-1890513</v>
      </c>
      <c r="R76" s="103">
        <f>S76-O76</f>
        <v>0</v>
      </c>
      <c r="S76" s="103">
        <f>C76+E76+G76+I76+K76+M76</f>
        <v>-1834776</v>
      </c>
    </row>
    <row r="77" spans="2:19" ht="13.5" thickBot="1">
      <c r="B77" s="180" t="s">
        <v>513</v>
      </c>
      <c r="C77" s="85">
        <f>SUM(C75:C76)</f>
        <v>-1481119</v>
      </c>
      <c r="E77" s="85">
        <f>SUM(E75:E76)</f>
        <v>4728636</v>
      </c>
      <c r="G77" s="85">
        <f>SUM(G75:G76)</f>
        <v>4424914</v>
      </c>
      <c r="I77" s="85">
        <f>SUM(I75:I76)</f>
        <v>6196033</v>
      </c>
      <c r="K77" s="85">
        <f>SUM(K75:K76)</f>
        <v>8945255</v>
      </c>
      <c r="M77" s="85">
        <f>SUM(M75:M76)</f>
        <v>5208741</v>
      </c>
      <c r="O77" s="85">
        <v>28022460</v>
      </c>
      <c r="Q77" s="85">
        <f>SUM(Q75:Q76)</f>
        <v>29857236</v>
      </c>
      <c r="R77" s="103">
        <f>S77-O77</f>
        <v>0</v>
      </c>
      <c r="S77" s="103">
        <f>C77+E77+G77+I77+K77+M77</f>
        <v>28022460</v>
      </c>
    </row>
    <row r="78" ht="13.5" thickTop="1"/>
    <row r="80" spans="1:2" ht="12.75">
      <c r="A80" s="39" t="s">
        <v>148</v>
      </c>
      <c r="B80" s="8" t="s">
        <v>323</v>
      </c>
    </row>
    <row r="82" ht="12.75">
      <c r="B82" s="18" t="s">
        <v>384</v>
      </c>
    </row>
    <row r="83" ht="12.75">
      <c r="B83" s="18" t="s">
        <v>140</v>
      </c>
    </row>
    <row r="84" spans="15:17" ht="12.75">
      <c r="O84" s="4">
        <v>2015</v>
      </c>
      <c r="P84" s="4"/>
      <c r="Q84" s="4">
        <v>2014</v>
      </c>
    </row>
    <row r="85" spans="2:17" ht="12.75">
      <c r="B85" s="18" t="s">
        <v>141</v>
      </c>
      <c r="O85" s="68">
        <v>174264454</v>
      </c>
      <c r="Q85" s="68">
        <v>174264454</v>
      </c>
    </row>
    <row r="86" spans="2:17" ht="12.75">
      <c r="B86" s="18" t="s">
        <v>142</v>
      </c>
      <c r="O86" s="68">
        <v>69819803</v>
      </c>
      <c r="Q86" s="68">
        <v>69819803</v>
      </c>
    </row>
    <row r="87" spans="2:17" ht="12.75">
      <c r="B87" s="18" t="s">
        <v>385</v>
      </c>
      <c r="O87" s="68">
        <v>115450768</v>
      </c>
      <c r="Q87" s="68">
        <v>115450768</v>
      </c>
    </row>
    <row r="88" spans="2:17" ht="13.5" thickBot="1">
      <c r="B88" s="8" t="s">
        <v>40</v>
      </c>
      <c r="C88" s="8"/>
      <c r="D88" s="8"/>
      <c r="E88" s="8"/>
      <c r="F88" s="8"/>
      <c r="G88" s="8"/>
      <c r="H88" s="8"/>
      <c r="I88" s="8"/>
      <c r="J88" s="8"/>
      <c r="K88" s="8"/>
      <c r="L88" s="8"/>
      <c r="M88" s="8"/>
      <c r="N88" s="8"/>
      <c r="O88" s="85">
        <f>SUM(O85:O87)</f>
        <v>359535025</v>
      </c>
      <c r="P88" s="8"/>
      <c r="Q88" s="85">
        <f>SUM(Q85:Q87)</f>
        <v>359535025</v>
      </c>
    </row>
    <row r="89" spans="2:17" ht="39" customHeight="1" thickTop="1">
      <c r="B89" s="415" t="s">
        <v>296</v>
      </c>
      <c r="C89" s="415"/>
      <c r="D89" s="415"/>
      <c r="E89" s="415"/>
      <c r="F89" s="415"/>
      <c r="G89" s="415"/>
      <c r="H89" s="415"/>
      <c r="I89" s="415"/>
      <c r="J89" s="415"/>
      <c r="K89" s="415"/>
      <c r="L89" s="415"/>
      <c r="M89" s="415"/>
      <c r="N89" s="415"/>
      <c r="O89" s="415"/>
      <c r="P89" s="415"/>
      <c r="Q89" s="415"/>
    </row>
    <row r="90" spans="2:17" ht="27.75" customHeight="1">
      <c r="B90" s="415" t="s">
        <v>496</v>
      </c>
      <c r="C90" s="415"/>
      <c r="D90" s="415"/>
      <c r="E90" s="415"/>
      <c r="F90" s="415"/>
      <c r="G90" s="415"/>
      <c r="H90" s="415"/>
      <c r="I90" s="415"/>
      <c r="J90" s="415"/>
      <c r="K90" s="415"/>
      <c r="L90" s="415"/>
      <c r="M90" s="415"/>
      <c r="N90" s="415"/>
      <c r="O90" s="415"/>
      <c r="P90" s="415"/>
      <c r="Q90" s="415"/>
    </row>
    <row r="91" ht="12.75">
      <c r="B91" s="18" t="s">
        <v>203</v>
      </c>
    </row>
    <row r="94" spans="1:2" ht="12.75">
      <c r="A94" s="39" t="s">
        <v>182</v>
      </c>
      <c r="B94" s="1" t="s">
        <v>542</v>
      </c>
    </row>
    <row r="96" ht="12.75">
      <c r="B96" s="18" t="s">
        <v>215</v>
      </c>
    </row>
    <row r="99" spans="1:2" ht="12.75">
      <c r="A99" s="39" t="s">
        <v>186</v>
      </c>
      <c r="B99" s="8" t="s">
        <v>541</v>
      </c>
    </row>
    <row r="100" ht="5.25" customHeight="1"/>
    <row r="101" ht="12.75">
      <c r="B101" s="18" t="s">
        <v>109</v>
      </c>
    </row>
    <row r="102" spans="3:17" ht="12.75">
      <c r="C102" s="4" t="s">
        <v>298</v>
      </c>
      <c r="D102" s="4"/>
      <c r="E102" s="4" t="s">
        <v>300</v>
      </c>
      <c r="F102" s="4"/>
      <c r="G102" s="4" t="s">
        <v>301</v>
      </c>
      <c r="H102" s="4"/>
      <c r="I102" s="4" t="s">
        <v>302</v>
      </c>
      <c r="J102" s="4"/>
      <c r="K102" s="4" t="s">
        <v>303</v>
      </c>
      <c r="L102" s="4"/>
      <c r="M102" s="4" t="s">
        <v>304</v>
      </c>
      <c r="N102" s="4"/>
      <c r="O102" s="4">
        <v>2015</v>
      </c>
      <c r="P102" s="4"/>
      <c r="Q102" s="4">
        <v>2014</v>
      </c>
    </row>
    <row r="103" spans="3:17" ht="12.75">
      <c r="C103" s="4"/>
      <c r="D103" s="4"/>
      <c r="E103" s="4"/>
      <c r="F103" s="4"/>
      <c r="G103" s="4"/>
      <c r="H103" s="4"/>
      <c r="I103" s="4"/>
      <c r="J103" s="4"/>
      <c r="K103" s="4"/>
      <c r="L103" s="4"/>
      <c r="M103" s="4"/>
      <c r="N103" s="4"/>
      <c r="O103" s="4"/>
      <c r="P103" s="4"/>
      <c r="Q103" s="4"/>
    </row>
    <row r="104" spans="2:19" ht="12.75">
      <c r="B104" s="18" t="s">
        <v>143</v>
      </c>
      <c r="C104" s="68"/>
      <c r="D104" s="68"/>
      <c r="E104" s="68">
        <v>0</v>
      </c>
      <c r="F104" s="68"/>
      <c r="G104" s="68"/>
      <c r="H104" s="68"/>
      <c r="I104" s="68">
        <v>29212</v>
      </c>
      <c r="J104" s="68"/>
      <c r="K104" s="68"/>
      <c r="L104" s="68"/>
      <c r="M104" s="68"/>
      <c r="N104" s="68"/>
      <c r="O104" s="16">
        <v>29212</v>
      </c>
      <c r="P104" s="68"/>
      <c r="Q104" s="68">
        <v>291586</v>
      </c>
      <c r="R104" s="103"/>
      <c r="S104" s="103"/>
    </row>
    <row r="105" spans="2:19" ht="12.75">
      <c r="B105" s="18" t="s">
        <v>204</v>
      </c>
      <c r="C105" s="68"/>
      <c r="D105" s="68"/>
      <c r="E105" s="68"/>
      <c r="F105" s="68"/>
      <c r="G105" s="68"/>
      <c r="H105" s="68"/>
      <c r="I105" s="68">
        <v>22759</v>
      </c>
      <c r="J105" s="68"/>
      <c r="K105" s="68"/>
      <c r="L105" s="68"/>
      <c r="M105" s="68"/>
      <c r="N105" s="68"/>
      <c r="O105" s="16">
        <v>22759</v>
      </c>
      <c r="P105" s="68"/>
      <c r="Q105" s="68">
        <v>24776</v>
      </c>
      <c r="R105" s="103"/>
      <c r="S105" s="103"/>
    </row>
    <row r="106" spans="2:19" ht="12.75">
      <c r="B106" s="18" t="s">
        <v>205</v>
      </c>
      <c r="C106" s="68"/>
      <c r="D106" s="68"/>
      <c r="E106" s="68">
        <v>125480</v>
      </c>
      <c r="F106" s="68"/>
      <c r="G106" s="68">
        <v>285240</v>
      </c>
      <c r="H106" s="68"/>
      <c r="I106" s="68">
        <v>338818</v>
      </c>
      <c r="J106" s="68"/>
      <c r="K106" s="68"/>
      <c r="L106" s="68"/>
      <c r="M106" s="68">
        <v>50300</v>
      </c>
      <c r="N106" s="68"/>
      <c r="O106" s="16">
        <v>799838</v>
      </c>
      <c r="P106" s="68"/>
      <c r="Q106" s="68">
        <v>1001813</v>
      </c>
      <c r="R106" s="103"/>
      <c r="S106" s="103"/>
    </row>
    <row r="107" spans="2:19" ht="12.75">
      <c r="B107" s="18" t="s">
        <v>144</v>
      </c>
      <c r="C107" s="68"/>
      <c r="D107" s="68"/>
      <c r="E107" s="68"/>
      <c r="F107" s="68"/>
      <c r="G107" s="68"/>
      <c r="H107" s="68"/>
      <c r="I107" s="68">
        <v>28230</v>
      </c>
      <c r="J107" s="68"/>
      <c r="K107" s="68"/>
      <c r="L107" s="68"/>
      <c r="M107" s="68"/>
      <c r="N107" s="68"/>
      <c r="O107" s="16">
        <v>28230</v>
      </c>
      <c r="P107" s="68"/>
      <c r="Q107" s="68">
        <v>55923</v>
      </c>
      <c r="R107" s="103"/>
      <c r="S107" s="103"/>
    </row>
    <row r="108" spans="2:19" ht="12.75">
      <c r="B108" s="18" t="s">
        <v>324</v>
      </c>
      <c r="C108" s="68"/>
      <c r="D108" s="68"/>
      <c r="E108" s="68">
        <v>17250</v>
      </c>
      <c r="F108" s="68"/>
      <c r="G108" s="68">
        <v>29360</v>
      </c>
      <c r="H108" s="68"/>
      <c r="I108" s="68">
        <v>35125</v>
      </c>
      <c r="J108" s="68"/>
      <c r="K108" s="68"/>
      <c r="L108" s="68"/>
      <c r="M108" s="68">
        <v>22043</v>
      </c>
      <c r="N108" s="68"/>
      <c r="O108" s="16">
        <v>103778</v>
      </c>
      <c r="P108" s="68"/>
      <c r="Q108" s="68">
        <v>193082</v>
      </c>
      <c r="R108" s="103"/>
      <c r="S108" s="103"/>
    </row>
    <row r="109" spans="2:19" ht="12.75">
      <c r="B109" s="18" t="s">
        <v>145</v>
      </c>
      <c r="C109" s="68"/>
      <c r="D109" s="68"/>
      <c r="E109" s="68"/>
      <c r="F109" s="68"/>
      <c r="G109" s="68"/>
      <c r="H109" s="68"/>
      <c r="I109" s="68">
        <v>12189</v>
      </c>
      <c r="J109" s="68"/>
      <c r="K109" s="68"/>
      <c r="L109" s="68"/>
      <c r="M109" s="68"/>
      <c r="N109" s="68"/>
      <c r="O109" s="16">
        <v>12189</v>
      </c>
      <c r="P109" s="68"/>
      <c r="Q109" s="68">
        <v>15568</v>
      </c>
      <c r="R109" s="103"/>
      <c r="S109" s="103"/>
    </row>
    <row r="110" spans="2:19" ht="12.75">
      <c r="B110" s="18" t="s">
        <v>168</v>
      </c>
      <c r="C110" s="106">
        <v>0</v>
      </c>
      <c r="D110" s="106"/>
      <c r="E110" s="68">
        <v>10000</v>
      </c>
      <c r="F110" s="68"/>
      <c r="G110" s="68">
        <v>12000</v>
      </c>
      <c r="H110" s="68"/>
      <c r="I110" s="68">
        <v>63000</v>
      </c>
      <c r="J110" s="68"/>
      <c r="K110" s="68">
        <v>0</v>
      </c>
      <c r="L110" s="68"/>
      <c r="M110" s="68">
        <v>10000</v>
      </c>
      <c r="N110" s="68"/>
      <c r="O110" s="16">
        <v>95000</v>
      </c>
      <c r="P110" s="68"/>
      <c r="Q110" s="68">
        <v>95000</v>
      </c>
      <c r="R110" s="103"/>
      <c r="S110" s="103"/>
    </row>
    <row r="111" spans="2:19" ht="12.75">
      <c r="B111" s="18" t="s">
        <v>146</v>
      </c>
      <c r="C111" s="68">
        <v>0</v>
      </c>
      <c r="D111" s="68"/>
      <c r="E111" s="68">
        <v>22254</v>
      </c>
      <c r="F111" s="68"/>
      <c r="G111" s="68">
        <v>63128</v>
      </c>
      <c r="H111" s="68"/>
      <c r="I111" s="68">
        <v>240154</v>
      </c>
      <c r="J111" s="68"/>
      <c r="K111" s="68">
        <v>5029</v>
      </c>
      <c r="L111" s="68"/>
      <c r="M111" s="68">
        <v>2000</v>
      </c>
      <c r="N111" s="68"/>
      <c r="O111" s="16">
        <v>332565</v>
      </c>
      <c r="P111" s="68"/>
      <c r="Q111" s="68">
        <v>332565</v>
      </c>
      <c r="R111" s="103"/>
      <c r="S111" s="103"/>
    </row>
    <row r="112" spans="2:19" ht="12.75">
      <c r="B112" s="18" t="s">
        <v>147</v>
      </c>
      <c r="C112" s="68">
        <v>0</v>
      </c>
      <c r="D112" s="68"/>
      <c r="E112" s="68">
        <v>118350</v>
      </c>
      <c r="F112" s="68"/>
      <c r="G112" s="68">
        <v>185420</v>
      </c>
      <c r="H112" s="68"/>
      <c r="I112" s="68">
        <v>675124</v>
      </c>
      <c r="J112" s="68"/>
      <c r="K112" s="68">
        <v>0</v>
      </c>
      <c r="L112" s="68"/>
      <c r="M112" s="68">
        <f>2925+1674</f>
        <v>4599</v>
      </c>
      <c r="N112" s="68"/>
      <c r="O112" s="16">
        <v>983493</v>
      </c>
      <c r="P112" s="68"/>
      <c r="Q112" s="68">
        <v>1080248</v>
      </c>
      <c r="R112" s="103"/>
      <c r="S112" s="103"/>
    </row>
    <row r="113" spans="2:19" ht="13.5" thickBot="1">
      <c r="B113" s="8" t="s">
        <v>320</v>
      </c>
      <c r="C113" s="85">
        <f>SUM(C104:C112)</f>
        <v>0</v>
      </c>
      <c r="D113" s="106"/>
      <c r="E113" s="85">
        <f>SUM(E104:E112)</f>
        <v>293334</v>
      </c>
      <c r="F113" s="106"/>
      <c r="G113" s="85">
        <f>SUM(G104:G112)</f>
        <v>575148</v>
      </c>
      <c r="H113" s="106"/>
      <c r="I113" s="85">
        <f>SUM(I104:I112)</f>
        <v>1444611</v>
      </c>
      <c r="J113" s="106"/>
      <c r="K113" s="85">
        <f>SUM(K104:K112)</f>
        <v>5029</v>
      </c>
      <c r="L113" s="106"/>
      <c r="M113" s="85">
        <f>SUM(M104:M112)</f>
        <v>88942</v>
      </c>
      <c r="N113" s="106"/>
      <c r="O113" s="85">
        <v>2407064</v>
      </c>
      <c r="P113" s="106"/>
      <c r="Q113" s="85">
        <v>3090561</v>
      </c>
      <c r="R113" s="103"/>
      <c r="S113" s="103"/>
    </row>
    <row r="114" spans="2:17" ht="13.5" thickTop="1">
      <c r="B114" s="132" t="s">
        <v>351</v>
      </c>
      <c r="C114" s="10"/>
      <c r="D114" s="7"/>
      <c r="E114" s="10"/>
      <c r="F114" s="68"/>
      <c r="G114" s="68"/>
      <c r="H114" s="68"/>
      <c r="I114" s="68"/>
      <c r="J114" s="68"/>
      <c r="K114" s="68"/>
      <c r="L114" s="68"/>
      <c r="M114" s="68"/>
      <c r="N114" s="68"/>
      <c r="O114" s="68"/>
      <c r="P114" s="68"/>
      <c r="Q114" s="68"/>
    </row>
    <row r="115" spans="2:17" ht="12.75" customHeight="1">
      <c r="B115" s="132" t="s">
        <v>352</v>
      </c>
      <c r="C115" s="132"/>
      <c r="D115" s="132"/>
      <c r="E115" s="132"/>
      <c r="F115" s="68"/>
      <c r="G115" s="68"/>
      <c r="H115" s="68"/>
      <c r="I115" s="68"/>
      <c r="J115" s="68"/>
      <c r="K115" s="68"/>
      <c r="L115" s="68"/>
      <c r="M115" s="68"/>
      <c r="N115" s="68"/>
      <c r="O115" s="68"/>
      <c r="P115" s="68"/>
      <c r="Q115" s="68"/>
    </row>
    <row r="116" spans="3:17" ht="12.75">
      <c r="C116" s="68"/>
      <c r="D116" s="68"/>
      <c r="E116" s="68"/>
      <c r="F116" s="68"/>
      <c r="G116" s="68"/>
      <c r="H116" s="68"/>
      <c r="I116" s="68"/>
      <c r="J116" s="68"/>
      <c r="K116" s="68"/>
      <c r="L116" s="68"/>
      <c r="M116" s="68"/>
      <c r="N116" s="68"/>
      <c r="O116" s="68"/>
      <c r="P116" s="68"/>
      <c r="Q116" s="68"/>
    </row>
    <row r="117" spans="1:2" ht="12.75">
      <c r="A117" s="39" t="s">
        <v>189</v>
      </c>
      <c r="B117" s="8" t="s">
        <v>540</v>
      </c>
    </row>
    <row r="118" ht="6" customHeight="1"/>
    <row r="119" ht="12.75">
      <c r="B119" s="18" t="s">
        <v>109</v>
      </c>
    </row>
    <row r="120" spans="3:17" ht="12.75">
      <c r="C120" s="4" t="s">
        <v>298</v>
      </c>
      <c r="D120" s="4"/>
      <c r="E120" s="4" t="s">
        <v>300</v>
      </c>
      <c r="F120" s="4"/>
      <c r="G120" s="4" t="s">
        <v>301</v>
      </c>
      <c r="H120" s="4"/>
      <c r="I120" s="4" t="s">
        <v>302</v>
      </c>
      <c r="J120" s="4"/>
      <c r="K120" s="4" t="s">
        <v>303</v>
      </c>
      <c r="L120" s="4"/>
      <c r="M120" s="4" t="s">
        <v>304</v>
      </c>
      <c r="N120" s="4"/>
      <c r="O120" s="4">
        <v>2015</v>
      </c>
      <c r="P120" s="4"/>
      <c r="Q120" s="4">
        <v>2014</v>
      </c>
    </row>
    <row r="121" spans="3:17" ht="12.75">
      <c r="C121" s="4"/>
      <c r="D121" s="4"/>
      <c r="E121" s="4"/>
      <c r="F121" s="4"/>
      <c r="G121" s="4"/>
      <c r="H121" s="4"/>
      <c r="I121" s="4"/>
      <c r="J121" s="4"/>
      <c r="K121" s="4"/>
      <c r="L121" s="4"/>
      <c r="M121" s="4"/>
      <c r="N121" s="4"/>
      <c r="O121" s="4"/>
      <c r="P121" s="4"/>
      <c r="Q121" s="4"/>
    </row>
    <row r="122" spans="2:18" ht="12.75">
      <c r="B122" s="18" t="s">
        <v>273</v>
      </c>
      <c r="C122" s="68">
        <v>-513965</v>
      </c>
      <c r="D122" s="68"/>
      <c r="E122" s="68">
        <v>2806597</v>
      </c>
      <c r="F122" s="68"/>
      <c r="G122" s="68">
        <v>846558</v>
      </c>
      <c r="H122" s="68"/>
      <c r="I122" s="68">
        <v>3166717</v>
      </c>
      <c r="J122" s="68"/>
      <c r="K122" s="68">
        <v>-253008</v>
      </c>
      <c r="L122" s="68"/>
      <c r="M122" s="68">
        <v>96645</v>
      </c>
      <c r="N122" s="68"/>
      <c r="O122" s="16">
        <v>6149544</v>
      </c>
      <c r="P122" s="68"/>
      <c r="Q122" s="68">
        <v>4848000</v>
      </c>
      <c r="R122" s="103"/>
    </row>
    <row r="123" spans="2:18" ht="12.75">
      <c r="B123" s="18" t="s">
        <v>289</v>
      </c>
      <c r="C123" s="68">
        <v>0</v>
      </c>
      <c r="D123" s="68"/>
      <c r="E123" s="68">
        <v>-375730</v>
      </c>
      <c r="F123" s="68"/>
      <c r="G123" s="68">
        <v>-503600</v>
      </c>
      <c r="H123" s="68"/>
      <c r="I123" s="68">
        <v>-726245</v>
      </c>
      <c r="J123" s="68"/>
      <c r="K123" s="68">
        <v>-17562</v>
      </c>
      <c r="L123" s="68"/>
      <c r="M123" s="68">
        <v>-54538</v>
      </c>
      <c r="N123" s="68"/>
      <c r="O123" s="16">
        <v>-1677675</v>
      </c>
      <c r="P123" s="68"/>
      <c r="Q123" s="68">
        <v>0</v>
      </c>
      <c r="R123" s="103"/>
    </row>
    <row r="124" spans="2:19" ht="12.75">
      <c r="B124" s="18" t="s">
        <v>530</v>
      </c>
      <c r="C124" s="68">
        <v>0</v>
      </c>
      <c r="D124" s="68"/>
      <c r="E124" s="68">
        <v>-85124</v>
      </c>
      <c r="F124" s="68"/>
      <c r="G124" s="68">
        <v>-102453</v>
      </c>
      <c r="H124" s="68"/>
      <c r="I124" s="68">
        <v>-120450</v>
      </c>
      <c r="J124" s="68"/>
      <c r="K124" s="68">
        <v>0</v>
      </c>
      <c r="L124" s="68"/>
      <c r="M124" s="68">
        <v>-62608</v>
      </c>
      <c r="N124" s="68"/>
      <c r="O124" s="16">
        <v>-370635</v>
      </c>
      <c r="P124" s="68"/>
      <c r="Q124" s="68"/>
      <c r="R124" s="103"/>
      <c r="S124" s="103"/>
    </row>
    <row r="125" spans="2:18" ht="12.75">
      <c r="B125" s="18" t="s">
        <v>290</v>
      </c>
      <c r="C125" s="68">
        <v>0</v>
      </c>
      <c r="D125" s="68"/>
      <c r="E125" s="68">
        <f>-UPL!G29</f>
        <v>172190</v>
      </c>
      <c r="F125" s="68"/>
      <c r="G125" s="68">
        <f>-UPL!I29</f>
        <v>186455</v>
      </c>
      <c r="H125" s="68"/>
      <c r="I125" s="68">
        <f>-UPL!K29</f>
        <v>257528</v>
      </c>
      <c r="J125" s="68"/>
      <c r="K125" s="68">
        <f>-UPL!M29</f>
        <v>0</v>
      </c>
      <c r="L125" s="68"/>
      <c r="M125" s="68">
        <f>-UPL!O29</f>
        <v>15302</v>
      </c>
      <c r="N125" s="68"/>
      <c r="O125" s="16">
        <v>631475</v>
      </c>
      <c r="P125" s="68"/>
      <c r="Q125" s="68">
        <v>1301544</v>
      </c>
      <c r="R125" s="103"/>
    </row>
    <row r="126" spans="2:18" ht="13.5" thickBot="1">
      <c r="B126" s="8" t="s">
        <v>40</v>
      </c>
      <c r="C126" s="85">
        <f>SUM(C122:C125)</f>
        <v>-513965</v>
      </c>
      <c r="D126" s="85">
        <f aca="true" t="shared" si="3" ref="D126:P126">SUM(D122:D125)</f>
        <v>0</v>
      </c>
      <c r="E126" s="85">
        <f t="shared" si="3"/>
        <v>2517933</v>
      </c>
      <c r="F126" s="85">
        <f t="shared" si="3"/>
        <v>0</v>
      </c>
      <c r="G126" s="85">
        <f t="shared" si="3"/>
        <v>426960</v>
      </c>
      <c r="H126" s="85">
        <f t="shared" si="3"/>
        <v>0</v>
      </c>
      <c r="I126" s="85">
        <f t="shared" si="3"/>
        <v>2577550</v>
      </c>
      <c r="J126" s="85">
        <f t="shared" si="3"/>
        <v>0</v>
      </c>
      <c r="K126" s="85">
        <f t="shared" si="3"/>
        <v>-270570</v>
      </c>
      <c r="L126" s="85">
        <f t="shared" si="3"/>
        <v>0</v>
      </c>
      <c r="M126" s="85">
        <f t="shared" si="3"/>
        <v>-5199</v>
      </c>
      <c r="N126" s="85">
        <f t="shared" si="3"/>
        <v>0</v>
      </c>
      <c r="O126" s="85">
        <v>4732709</v>
      </c>
      <c r="P126" s="85">
        <f t="shared" si="3"/>
        <v>0</v>
      </c>
      <c r="Q126" s="85">
        <v>6149544</v>
      </c>
      <c r="R126" s="103"/>
    </row>
    <row r="127" ht="13.5" thickTop="1">
      <c r="B127" s="18" t="s">
        <v>383</v>
      </c>
    </row>
    <row r="128" ht="12.75">
      <c r="B128" s="18" t="s">
        <v>363</v>
      </c>
    </row>
    <row r="129" spans="3:5" ht="12.75">
      <c r="C129" s="8" t="s">
        <v>32</v>
      </c>
      <c r="D129" s="8" t="s">
        <v>364</v>
      </c>
      <c r="E129" s="8"/>
    </row>
    <row r="130" spans="2:4" ht="12.75">
      <c r="B130" s="18" t="s">
        <v>531</v>
      </c>
      <c r="C130" s="67">
        <f>'N-5'!M8</f>
        <v>210491529</v>
      </c>
      <c r="D130" s="67"/>
    </row>
    <row r="131" spans="2:5" ht="12.75">
      <c r="B131" s="18" t="s">
        <v>0</v>
      </c>
      <c r="E131" s="67">
        <v>631475</v>
      </c>
    </row>
    <row r="132" spans="2:5" ht="13.5" thickBot="1">
      <c r="B132" s="143" t="s">
        <v>365</v>
      </c>
      <c r="C132" s="149">
        <f>SUM(C130:C131)</f>
        <v>210491529</v>
      </c>
      <c r="E132" s="149">
        <f>SUM(E131:E131)</f>
        <v>631475</v>
      </c>
    </row>
    <row r="133" ht="13.5" thickTop="1"/>
  </sheetData>
  <sheetProtection/>
  <mergeCells count="6">
    <mergeCell ref="B89:Q89"/>
    <mergeCell ref="B90:Q90"/>
    <mergeCell ref="B41:Q41"/>
    <mergeCell ref="B70:Q70"/>
    <mergeCell ref="B61:Q61"/>
    <mergeCell ref="B68:Q68"/>
  </mergeCells>
  <printOptions horizontalCentered="1"/>
  <pageMargins left="0.5" right="0.5" top="0.26" bottom="0.29" header="0.17" footer="0.16"/>
  <pageSetup firstPageNumber="22" useFirstPageNumber="1" horizontalDpi="600" verticalDpi="600" orientation="landscape" paperSize="9" scale="90" r:id="rId1"/>
  <headerFooter alignWithMargins="0">
    <oddHeader>&amp;RHAQUE SHAH ALAM MANSUR &amp;&amp; CO.
Chartered Accountants</oddHeader>
    <oddFooter>&amp;C22</oddFooter>
  </headerFooter>
</worksheet>
</file>

<file path=xl/worksheets/sheet11.xml><?xml version="1.0" encoding="utf-8"?>
<worksheet xmlns="http://schemas.openxmlformats.org/spreadsheetml/2006/main" xmlns:r="http://schemas.openxmlformats.org/officeDocument/2006/relationships">
  <dimension ref="A1:T157"/>
  <sheetViews>
    <sheetView zoomScalePageLayoutView="0" workbookViewId="0" topLeftCell="A1">
      <selection activeCell="A1" sqref="A1:R159"/>
    </sheetView>
  </sheetViews>
  <sheetFormatPr defaultColWidth="9.140625" defaultRowHeight="12.75"/>
  <cols>
    <col min="1" max="1" width="4.7109375" style="6" customWidth="1"/>
    <col min="2" max="2" width="37.140625" style="18" customWidth="1"/>
    <col min="3" max="3" width="14.140625" style="18" customWidth="1"/>
    <col min="4" max="4" width="0.71875" style="18" customWidth="1"/>
    <col min="5" max="5" width="12.8515625" style="18" customWidth="1"/>
    <col min="6" max="6" width="0.71875" style="18" customWidth="1"/>
    <col min="7" max="7" width="13.421875" style="18" customWidth="1"/>
    <col min="8" max="8" width="0.9921875" style="18" customWidth="1"/>
    <col min="9" max="9" width="14.00390625" style="18" customWidth="1"/>
    <col min="10" max="10" width="0.85546875" style="18" customWidth="1"/>
    <col min="11" max="11" width="11.7109375" style="18" customWidth="1"/>
    <col min="12" max="12" width="0.9921875" style="18" customWidth="1"/>
    <col min="13" max="13" width="12.7109375" style="18" customWidth="1"/>
    <col min="14" max="14" width="0.9921875" style="18" customWidth="1"/>
    <col min="15" max="15" width="13.8515625" style="18" customWidth="1"/>
    <col min="16" max="16" width="0.71875" style="18" customWidth="1"/>
    <col min="17" max="17" width="12.57421875" style="18" customWidth="1"/>
    <col min="18" max="18" width="15.00390625" style="18" customWidth="1"/>
    <col min="19" max="19" width="20.57421875" style="18" bestFit="1" customWidth="1"/>
    <col min="20" max="20" width="12.28125" style="18" bestFit="1" customWidth="1"/>
    <col min="21" max="16384" width="9.140625" style="18" customWidth="1"/>
  </cols>
  <sheetData>
    <row r="1" spans="1:2" ht="12.75">
      <c r="A1" s="39">
        <v>19</v>
      </c>
      <c r="B1" s="8" t="s">
        <v>539</v>
      </c>
    </row>
    <row r="2" spans="11:17" ht="12.75">
      <c r="K2" s="417">
        <v>2015</v>
      </c>
      <c r="L2" s="417"/>
      <c r="M2" s="417"/>
      <c r="O2" s="417">
        <v>2014</v>
      </c>
      <c r="P2" s="417"/>
      <c r="Q2" s="417"/>
    </row>
    <row r="3" spans="2:17" ht="12.75">
      <c r="B3" s="8" t="s">
        <v>149</v>
      </c>
      <c r="K3" s="4" t="s">
        <v>150</v>
      </c>
      <c r="L3" s="4"/>
      <c r="M3" s="4" t="s">
        <v>151</v>
      </c>
      <c r="O3" s="4" t="s">
        <v>150</v>
      </c>
      <c r="P3" s="4"/>
      <c r="Q3" s="4" t="s">
        <v>151</v>
      </c>
    </row>
    <row r="4" spans="2:17" ht="12.75">
      <c r="B4" s="18" t="s">
        <v>152</v>
      </c>
      <c r="K4" s="18">
        <f>2037+50+23-5-500+15</f>
        <v>1620</v>
      </c>
      <c r="M4" s="67">
        <f>210491529-M5-M6-M7</f>
        <v>183841974</v>
      </c>
      <c r="O4" s="68">
        <v>2105</v>
      </c>
      <c r="P4" s="68"/>
      <c r="Q4" s="68">
        <v>271062042</v>
      </c>
    </row>
    <row r="5" spans="2:17" ht="12.75">
      <c r="B5" s="18" t="s">
        <v>319</v>
      </c>
      <c r="K5" s="18">
        <v>195</v>
      </c>
      <c r="M5" s="67">
        <v>21548962</v>
      </c>
      <c r="O5" s="68">
        <v>213</v>
      </c>
      <c r="P5" s="68"/>
      <c r="Q5" s="68">
        <v>26705123</v>
      </c>
    </row>
    <row r="6" spans="2:17" ht="12.75">
      <c r="B6" s="18" t="s">
        <v>154</v>
      </c>
      <c r="K6" s="18">
        <v>0</v>
      </c>
      <c r="M6" s="67">
        <v>0</v>
      </c>
      <c r="O6" s="68">
        <v>14</v>
      </c>
      <c r="P6" s="68"/>
      <c r="Q6" s="68">
        <v>1905230</v>
      </c>
    </row>
    <row r="7" spans="2:17" ht="12.75">
      <c r="B7" s="18" t="s">
        <v>155</v>
      </c>
      <c r="K7" s="18">
        <v>52</v>
      </c>
      <c r="M7" s="67">
        <v>5100593</v>
      </c>
      <c r="O7" s="68">
        <v>52</v>
      </c>
      <c r="P7" s="68"/>
      <c r="Q7" s="68">
        <v>7284361</v>
      </c>
    </row>
    <row r="8" spans="2:17" ht="13.5" thickBot="1">
      <c r="B8" s="8" t="s">
        <v>40</v>
      </c>
      <c r="C8" s="8"/>
      <c r="D8" s="8"/>
      <c r="E8" s="8"/>
      <c r="F8" s="8"/>
      <c r="G8" s="8"/>
      <c r="H8" s="8"/>
      <c r="I8" s="8"/>
      <c r="J8" s="8"/>
      <c r="K8" s="85">
        <f>SUM(K4:K7)</f>
        <v>1867</v>
      </c>
      <c r="L8" s="106"/>
      <c r="M8" s="85">
        <f>SUM(M4:M7)</f>
        <v>210491529</v>
      </c>
      <c r="N8" s="8"/>
      <c r="O8" s="85">
        <v>2384</v>
      </c>
      <c r="P8" s="106"/>
      <c r="Q8" s="85">
        <v>306956756</v>
      </c>
    </row>
    <row r="9" spans="11:17" ht="13.5" thickTop="1">
      <c r="K9" s="71"/>
      <c r="L9" s="68"/>
      <c r="M9" s="71"/>
      <c r="O9" s="71"/>
      <c r="P9" s="68"/>
      <c r="Q9" s="71"/>
    </row>
    <row r="10" spans="2:17" ht="12.75" customHeight="1">
      <c r="B10" s="421" t="s">
        <v>500</v>
      </c>
      <c r="C10" s="415"/>
      <c r="D10" s="415"/>
      <c r="E10" s="415"/>
      <c r="F10" s="415"/>
      <c r="G10" s="415"/>
      <c r="H10" s="415"/>
      <c r="I10" s="415"/>
      <c r="J10" s="415"/>
      <c r="K10" s="415"/>
      <c r="L10" s="415"/>
      <c r="M10" s="415"/>
      <c r="N10" s="415"/>
      <c r="O10" s="415"/>
      <c r="P10" s="415"/>
      <c r="Q10" s="415"/>
    </row>
    <row r="11" spans="11:17" ht="12.75">
      <c r="K11" s="71"/>
      <c r="L11" s="68"/>
      <c r="M11" s="71"/>
      <c r="O11" s="71"/>
      <c r="P11" s="68"/>
      <c r="Q11" s="71"/>
    </row>
    <row r="12" spans="11:17" ht="12.75">
      <c r="K12" s="71"/>
      <c r="L12" s="68"/>
      <c r="M12" s="71"/>
      <c r="O12" s="71"/>
      <c r="P12" s="68"/>
      <c r="Q12" s="71"/>
    </row>
    <row r="13" spans="1:2" ht="12.75">
      <c r="A13" s="39" t="s">
        <v>216</v>
      </c>
      <c r="B13" s="8" t="s">
        <v>556</v>
      </c>
    </row>
    <row r="14" ht="12.75">
      <c r="B14" s="8"/>
    </row>
    <row r="15" ht="12.75">
      <c r="B15" s="18" t="s">
        <v>156</v>
      </c>
    </row>
    <row r="16" spans="3:17" ht="12.75">
      <c r="C16" s="4" t="s">
        <v>298</v>
      </c>
      <c r="D16" s="4"/>
      <c r="E16" s="4" t="s">
        <v>300</v>
      </c>
      <c r="F16" s="4"/>
      <c r="G16" s="4" t="s">
        <v>301</v>
      </c>
      <c r="H16" s="4"/>
      <c r="I16" s="4" t="s">
        <v>302</v>
      </c>
      <c r="J16" s="4"/>
      <c r="K16" s="4" t="s">
        <v>303</v>
      </c>
      <c r="L16" s="4"/>
      <c r="M16" s="4" t="s">
        <v>304</v>
      </c>
      <c r="N16" s="4"/>
      <c r="O16" s="4">
        <v>2015</v>
      </c>
      <c r="P16" s="4"/>
      <c r="Q16" s="4">
        <v>2014</v>
      </c>
    </row>
    <row r="17" spans="2:19" ht="12.75">
      <c r="B17" s="18" t="s">
        <v>206</v>
      </c>
      <c r="C17" s="68">
        <v>0</v>
      </c>
      <c r="D17" s="68"/>
      <c r="E17" s="68">
        <v>9825416</v>
      </c>
      <c r="F17" s="68"/>
      <c r="G17" s="68">
        <v>12045698</v>
      </c>
      <c r="H17" s="68"/>
      <c r="I17" s="68">
        <v>32546980</v>
      </c>
      <c r="J17" s="68"/>
      <c r="K17" s="68">
        <v>923760</v>
      </c>
      <c r="L17" s="68"/>
      <c r="M17" s="68">
        <v>7266466</v>
      </c>
      <c r="N17" s="68"/>
      <c r="O17" s="71">
        <v>62608320</v>
      </c>
      <c r="P17" s="68"/>
      <c r="Q17" s="68">
        <v>78163257</v>
      </c>
      <c r="R17" s="103"/>
      <c r="S17" s="103"/>
    </row>
    <row r="18" spans="2:19" ht="12.75">
      <c r="B18" s="18" t="s">
        <v>275</v>
      </c>
      <c r="C18" s="74"/>
      <c r="D18" s="68"/>
      <c r="E18" s="74"/>
      <c r="F18" s="68"/>
      <c r="G18" s="74"/>
      <c r="H18" s="68"/>
      <c r="I18" s="74"/>
      <c r="J18" s="68"/>
      <c r="K18" s="74"/>
      <c r="L18" s="68"/>
      <c r="M18" s="74"/>
      <c r="N18" s="68"/>
      <c r="O18" s="74">
        <v>0</v>
      </c>
      <c r="P18" s="68"/>
      <c r="Q18" s="74">
        <v>0</v>
      </c>
      <c r="R18" s="103"/>
      <c r="S18" s="103"/>
    </row>
    <row r="19" spans="3:19" ht="12.75">
      <c r="C19" s="68">
        <f>C17-C18</f>
        <v>0</v>
      </c>
      <c r="D19" s="68">
        <f aca="true" t="shared" si="0" ref="D19:M19">D17-D18</f>
        <v>0</v>
      </c>
      <c r="E19" s="68">
        <f t="shared" si="0"/>
        <v>9825416</v>
      </c>
      <c r="F19" s="68">
        <f t="shared" si="0"/>
        <v>0</v>
      </c>
      <c r="G19" s="68">
        <f t="shared" si="0"/>
        <v>12045698</v>
      </c>
      <c r="H19" s="68">
        <f t="shared" si="0"/>
        <v>0</v>
      </c>
      <c r="I19" s="68">
        <f t="shared" si="0"/>
        <v>32546980</v>
      </c>
      <c r="J19" s="68">
        <f t="shared" si="0"/>
        <v>0</v>
      </c>
      <c r="K19" s="68">
        <f t="shared" si="0"/>
        <v>923760</v>
      </c>
      <c r="L19" s="68">
        <f t="shared" si="0"/>
        <v>0</v>
      </c>
      <c r="M19" s="68">
        <f t="shared" si="0"/>
        <v>7266466</v>
      </c>
      <c r="N19" s="68">
        <f>N17+N18</f>
        <v>0</v>
      </c>
      <c r="O19" s="68">
        <v>62608320</v>
      </c>
      <c r="P19" s="68">
        <f>P17+P18</f>
        <v>0</v>
      </c>
      <c r="Q19" s="68">
        <f>Q17+Q18</f>
        <v>78163257</v>
      </c>
      <c r="R19" s="103"/>
      <c r="S19" s="103"/>
    </row>
    <row r="20" spans="2:19" ht="12.75">
      <c r="B20" s="91" t="s">
        <v>503</v>
      </c>
      <c r="C20" s="72">
        <f>C39</f>
        <v>1765976</v>
      </c>
      <c r="D20" s="72">
        <f aca="true" t="shared" si="1" ref="D20:M20">D39</f>
        <v>0</v>
      </c>
      <c r="E20" s="72">
        <f t="shared" si="1"/>
        <v>45676075</v>
      </c>
      <c r="F20" s="72">
        <f t="shared" si="1"/>
        <v>0</v>
      </c>
      <c r="G20" s="72">
        <f t="shared" si="1"/>
        <v>64395480</v>
      </c>
      <c r="H20" s="72">
        <f t="shared" si="1"/>
        <v>0</v>
      </c>
      <c r="I20" s="72">
        <f t="shared" si="1"/>
        <v>75507999</v>
      </c>
      <c r="J20" s="72">
        <f t="shared" si="1"/>
        <v>0</v>
      </c>
      <c r="K20" s="72">
        <f t="shared" si="1"/>
        <v>3508006</v>
      </c>
      <c r="L20" s="72">
        <f t="shared" si="1"/>
        <v>0</v>
      </c>
      <c r="M20" s="72">
        <f t="shared" si="1"/>
        <v>5847600</v>
      </c>
      <c r="N20" s="68"/>
      <c r="O20" s="72">
        <v>196701136.48</v>
      </c>
      <c r="P20" s="68"/>
      <c r="Q20" s="72">
        <v>274730254</v>
      </c>
      <c r="R20" s="103"/>
      <c r="S20" s="103"/>
    </row>
    <row r="21" spans="2:19" ht="12.75">
      <c r="B21" s="18" t="s">
        <v>183</v>
      </c>
      <c r="C21" s="73"/>
      <c r="D21" s="68"/>
      <c r="E21" s="73"/>
      <c r="F21" s="68"/>
      <c r="G21" s="73"/>
      <c r="H21" s="68"/>
      <c r="I21" s="73">
        <v>23235</v>
      </c>
      <c r="J21" s="68"/>
      <c r="K21" s="73"/>
      <c r="L21" s="68"/>
      <c r="M21" s="73"/>
      <c r="N21" s="68"/>
      <c r="O21" s="73">
        <v>23235</v>
      </c>
      <c r="P21" s="68"/>
      <c r="Q21" s="73">
        <v>124069</v>
      </c>
      <c r="R21" s="103"/>
      <c r="S21" s="103"/>
    </row>
    <row r="22" spans="3:19" ht="12.75">
      <c r="C22" s="69">
        <f>C20+C21</f>
        <v>1765976</v>
      </c>
      <c r="D22" s="69">
        <f aca="true" t="shared" si="2" ref="D22:M22">D20+D21</f>
        <v>0</v>
      </c>
      <c r="E22" s="69">
        <f t="shared" si="2"/>
        <v>45676075</v>
      </c>
      <c r="F22" s="69">
        <f t="shared" si="2"/>
        <v>0</v>
      </c>
      <c r="G22" s="69">
        <f t="shared" si="2"/>
        <v>64395480</v>
      </c>
      <c r="H22" s="69">
        <f t="shared" si="2"/>
        <v>0</v>
      </c>
      <c r="I22" s="69">
        <f t="shared" si="2"/>
        <v>75531234</v>
      </c>
      <c r="J22" s="69">
        <f t="shared" si="2"/>
        <v>0</v>
      </c>
      <c r="K22" s="69">
        <f t="shared" si="2"/>
        <v>3508006</v>
      </c>
      <c r="L22" s="69">
        <f t="shared" si="2"/>
        <v>0</v>
      </c>
      <c r="M22" s="69">
        <f t="shared" si="2"/>
        <v>5847600</v>
      </c>
      <c r="N22" s="69">
        <f>N20+N21</f>
        <v>0</v>
      </c>
      <c r="O22" s="69">
        <v>196724371.48</v>
      </c>
      <c r="P22" s="68"/>
      <c r="Q22" s="69">
        <v>274854323</v>
      </c>
      <c r="R22" s="103"/>
      <c r="S22" s="103"/>
    </row>
    <row r="23" spans="2:19" ht="12.75">
      <c r="B23" s="18" t="s">
        <v>207</v>
      </c>
      <c r="C23" s="68">
        <f>C19+C22</f>
        <v>1765976</v>
      </c>
      <c r="D23" s="68">
        <f aca="true" t="shared" si="3" ref="D23:M23">D19+D22</f>
        <v>0</v>
      </c>
      <c r="E23" s="68">
        <f t="shared" si="3"/>
        <v>55501491</v>
      </c>
      <c r="F23" s="68">
        <f t="shared" si="3"/>
        <v>0</v>
      </c>
      <c r="G23" s="68">
        <f t="shared" si="3"/>
        <v>76441178</v>
      </c>
      <c r="H23" s="68">
        <f t="shared" si="3"/>
        <v>0</v>
      </c>
      <c r="I23" s="68">
        <f t="shared" si="3"/>
        <v>108078214</v>
      </c>
      <c r="J23" s="68">
        <f t="shared" si="3"/>
        <v>0</v>
      </c>
      <c r="K23" s="68">
        <f t="shared" si="3"/>
        <v>4431766</v>
      </c>
      <c r="L23" s="68">
        <f t="shared" si="3"/>
        <v>0</v>
      </c>
      <c r="M23" s="68">
        <f t="shared" si="3"/>
        <v>13114066</v>
      </c>
      <c r="N23" s="68">
        <f>N19+N22</f>
        <v>0</v>
      </c>
      <c r="O23" s="68">
        <v>259332691.48</v>
      </c>
      <c r="P23" s="68"/>
      <c r="Q23" s="68">
        <v>353017580</v>
      </c>
      <c r="R23" s="103"/>
      <c r="S23" s="103"/>
    </row>
    <row r="24" spans="2:19" ht="12.75">
      <c r="B24" s="18" t="s">
        <v>208</v>
      </c>
      <c r="C24" s="74">
        <v>0</v>
      </c>
      <c r="D24" s="68"/>
      <c r="E24" s="74">
        <f>8542631+75517-5000000</f>
        <v>3618148</v>
      </c>
      <c r="F24" s="68"/>
      <c r="G24" s="74">
        <v>18526980</v>
      </c>
      <c r="H24" s="68"/>
      <c r="I24" s="74">
        <f>29145680-923760</f>
        <v>28221920</v>
      </c>
      <c r="J24" s="68"/>
      <c r="K24" s="74">
        <v>923760</v>
      </c>
      <c r="L24" s="68"/>
      <c r="M24" s="74">
        <f>3412459+5000000</f>
        <v>8412459</v>
      </c>
      <c r="N24" s="68"/>
      <c r="O24" s="74">
        <v>59703267</v>
      </c>
      <c r="P24" s="68"/>
      <c r="Q24" s="74">
        <v>62608320</v>
      </c>
      <c r="R24" s="103"/>
      <c r="S24" s="103"/>
    </row>
    <row r="25" spans="2:19" ht="13.5" thickBot="1">
      <c r="B25" s="8" t="s">
        <v>39</v>
      </c>
      <c r="C25" s="85">
        <f>C23-C24</f>
        <v>1765976</v>
      </c>
      <c r="D25" s="106"/>
      <c r="E25" s="85">
        <f>E23-E24</f>
        <v>51883343</v>
      </c>
      <c r="F25" s="106"/>
      <c r="G25" s="85">
        <f>G23-G24</f>
        <v>57914198</v>
      </c>
      <c r="H25" s="106"/>
      <c r="I25" s="85">
        <f>I23-I24</f>
        <v>79856294</v>
      </c>
      <c r="J25" s="106"/>
      <c r="K25" s="85">
        <f>K23-K24</f>
        <v>3508006</v>
      </c>
      <c r="L25" s="106"/>
      <c r="M25" s="85">
        <f>M23-M24</f>
        <v>4701607</v>
      </c>
      <c r="N25" s="106"/>
      <c r="O25" s="85">
        <v>199629424.48</v>
      </c>
      <c r="P25" s="106"/>
      <c r="Q25" s="85">
        <v>290409260</v>
      </c>
      <c r="R25" s="103"/>
      <c r="S25" s="103"/>
    </row>
    <row r="26" spans="3:18" ht="13.5" thickTop="1">
      <c r="C26" s="68"/>
      <c r="D26" s="68"/>
      <c r="E26" s="68"/>
      <c r="F26" s="68"/>
      <c r="G26" s="68"/>
      <c r="H26" s="68"/>
      <c r="I26" s="68"/>
      <c r="J26" s="68"/>
      <c r="K26" s="68"/>
      <c r="L26" s="68"/>
      <c r="M26" s="68"/>
      <c r="N26" s="68"/>
      <c r="O26" s="68"/>
      <c r="P26" s="68"/>
      <c r="Q26" s="68"/>
      <c r="R26" s="103"/>
    </row>
    <row r="27" spans="1:17" ht="12.75">
      <c r="A27" s="101" t="s">
        <v>601</v>
      </c>
      <c r="B27" s="8" t="s">
        <v>555</v>
      </c>
      <c r="C27" s="68"/>
      <c r="D27" s="68"/>
      <c r="E27" s="68"/>
      <c r="F27" s="68"/>
      <c r="G27" s="68"/>
      <c r="H27" s="68"/>
      <c r="I27" s="68"/>
      <c r="J27" s="68"/>
      <c r="K27" s="68"/>
      <c r="L27" s="68"/>
      <c r="M27" s="68"/>
      <c r="N27" s="68"/>
      <c r="O27" s="68"/>
      <c r="P27" s="68"/>
      <c r="Q27" s="68"/>
    </row>
    <row r="28" spans="2:17" ht="12.75">
      <c r="B28" s="103"/>
      <c r="C28" s="68"/>
      <c r="D28" s="68"/>
      <c r="E28" s="68"/>
      <c r="F28" s="68"/>
      <c r="G28" s="68"/>
      <c r="H28" s="68"/>
      <c r="I28" s="68"/>
      <c r="J28" s="68"/>
      <c r="K28" s="68"/>
      <c r="L28" s="68"/>
      <c r="M28" s="68"/>
      <c r="N28" s="68"/>
      <c r="O28" s="68"/>
      <c r="P28" s="68"/>
      <c r="Q28" s="68"/>
    </row>
    <row r="29" spans="2:17" ht="12.75">
      <c r="B29" s="18" t="s">
        <v>157</v>
      </c>
      <c r="C29" s="68"/>
      <c r="D29" s="68"/>
      <c r="E29" s="68"/>
      <c r="F29" s="68"/>
      <c r="G29" s="68"/>
      <c r="H29" s="68"/>
      <c r="I29" s="68"/>
      <c r="J29" s="68"/>
      <c r="K29" s="68"/>
      <c r="L29" s="68"/>
      <c r="M29" s="68"/>
      <c r="N29" s="68"/>
      <c r="O29" s="68"/>
      <c r="P29" s="68"/>
      <c r="Q29" s="68"/>
    </row>
    <row r="30" spans="3:17" ht="12.75">
      <c r="C30" s="4" t="s">
        <v>298</v>
      </c>
      <c r="D30" s="4"/>
      <c r="E30" s="4" t="s">
        <v>300</v>
      </c>
      <c r="F30" s="4"/>
      <c r="G30" s="4" t="s">
        <v>301</v>
      </c>
      <c r="H30" s="4"/>
      <c r="I30" s="4" t="s">
        <v>302</v>
      </c>
      <c r="J30" s="4"/>
      <c r="K30" s="4" t="s">
        <v>303</v>
      </c>
      <c r="L30" s="4"/>
      <c r="M30" s="4" t="s">
        <v>304</v>
      </c>
      <c r="N30" s="4"/>
      <c r="O30" s="4">
        <v>2015</v>
      </c>
      <c r="P30" s="4"/>
      <c r="Q30" s="4">
        <v>2014</v>
      </c>
    </row>
    <row r="31" spans="2:19" ht="12.75">
      <c r="B31" s="91" t="s">
        <v>504</v>
      </c>
      <c r="C31" s="68">
        <f>C49</f>
        <v>0</v>
      </c>
      <c r="D31" s="68">
        <f aca="true" t="shared" si="4" ref="D31:M31">D49</f>
        <v>0</v>
      </c>
      <c r="E31" s="68">
        <f t="shared" si="4"/>
        <v>42052069</v>
      </c>
      <c r="F31" s="68">
        <f t="shared" si="4"/>
        <v>0</v>
      </c>
      <c r="G31" s="68">
        <f t="shared" si="4"/>
        <v>57865880</v>
      </c>
      <c r="H31" s="68">
        <f t="shared" si="4"/>
        <v>0</v>
      </c>
      <c r="I31" s="68">
        <f t="shared" si="4"/>
        <v>62594473</v>
      </c>
      <c r="J31" s="68">
        <f t="shared" si="4"/>
        <v>0</v>
      </c>
      <c r="K31" s="68">
        <f t="shared" si="4"/>
        <v>829677</v>
      </c>
      <c r="L31" s="68">
        <f t="shared" si="4"/>
        <v>0</v>
      </c>
      <c r="M31" s="68">
        <f t="shared" si="4"/>
        <v>3551800</v>
      </c>
      <c r="N31" s="68"/>
      <c r="O31" s="68">
        <v>166893899.48</v>
      </c>
      <c r="P31" s="68"/>
      <c r="Q31" s="68">
        <v>243024931</v>
      </c>
      <c r="R31" s="103"/>
      <c r="S31" s="18" t="s">
        <v>158</v>
      </c>
    </row>
    <row r="32" spans="2:19" ht="12.75">
      <c r="B32" s="18" t="s">
        <v>158</v>
      </c>
      <c r="C32" s="74"/>
      <c r="D32" s="68"/>
      <c r="E32" s="74">
        <v>1725438</v>
      </c>
      <c r="F32" s="68"/>
      <c r="G32" s="74">
        <v>2465207</v>
      </c>
      <c r="H32" s="68"/>
      <c r="I32" s="74">
        <v>4545124</v>
      </c>
      <c r="J32" s="68"/>
      <c r="K32" s="74">
        <v>0</v>
      </c>
      <c r="L32" s="68"/>
      <c r="M32" s="74">
        <v>638418</v>
      </c>
      <c r="N32" s="68"/>
      <c r="O32" s="74">
        <v>9374187</v>
      </c>
      <c r="P32" s="68"/>
      <c r="Q32" s="74">
        <v>10948983</v>
      </c>
      <c r="R32" s="103"/>
      <c r="S32" s="103">
        <v>9374187</v>
      </c>
    </row>
    <row r="33" spans="3:19" ht="12.75">
      <c r="C33" s="68">
        <f aca="true" t="shared" si="5" ref="C33:N33">C31+C32</f>
        <v>0</v>
      </c>
      <c r="D33" s="68">
        <f t="shared" si="5"/>
        <v>0</v>
      </c>
      <c r="E33" s="68">
        <f t="shared" si="5"/>
        <v>43777507</v>
      </c>
      <c r="F33" s="68">
        <f t="shared" si="5"/>
        <v>0</v>
      </c>
      <c r="G33" s="68">
        <f t="shared" si="5"/>
        <v>60331087</v>
      </c>
      <c r="H33" s="68">
        <f t="shared" si="5"/>
        <v>0</v>
      </c>
      <c r="I33" s="68">
        <f t="shared" si="5"/>
        <v>67139597</v>
      </c>
      <c r="J33" s="68">
        <f t="shared" si="5"/>
        <v>0</v>
      </c>
      <c r="K33" s="68">
        <f t="shared" si="5"/>
        <v>829677</v>
      </c>
      <c r="L33" s="68">
        <f t="shared" si="5"/>
        <v>0</v>
      </c>
      <c r="M33" s="68">
        <f t="shared" si="5"/>
        <v>4190218</v>
      </c>
      <c r="N33" s="68">
        <f t="shared" si="5"/>
        <v>0</v>
      </c>
      <c r="O33" s="68">
        <v>176268086.48</v>
      </c>
      <c r="P33" s="68"/>
      <c r="Q33" s="68">
        <v>253973914</v>
      </c>
      <c r="R33" s="103"/>
      <c r="S33" s="103"/>
    </row>
    <row r="34" spans="2:19" ht="12.75">
      <c r="B34" s="18" t="s">
        <v>159</v>
      </c>
      <c r="C34" s="74">
        <v>0</v>
      </c>
      <c r="D34" s="68"/>
      <c r="E34" s="74">
        <v>0</v>
      </c>
      <c r="F34" s="68"/>
      <c r="G34" s="74">
        <v>0</v>
      </c>
      <c r="H34" s="68"/>
      <c r="I34" s="74">
        <v>2014256</v>
      </c>
      <c r="J34" s="68"/>
      <c r="K34" s="74">
        <v>0</v>
      </c>
      <c r="L34" s="68"/>
      <c r="M34" s="74">
        <v>565191</v>
      </c>
      <c r="N34" s="68"/>
      <c r="O34" s="74">
        <v>2579447</v>
      </c>
      <c r="P34" s="68"/>
      <c r="Q34" s="74">
        <v>594350</v>
      </c>
      <c r="R34" s="103"/>
      <c r="S34" s="103"/>
    </row>
    <row r="35" spans="3:19" ht="12.75">
      <c r="C35" s="68">
        <f aca="true" t="shared" si="6" ref="C35:N35">C33+C34</f>
        <v>0</v>
      </c>
      <c r="D35" s="68">
        <f t="shared" si="6"/>
        <v>0</v>
      </c>
      <c r="E35" s="68">
        <f t="shared" si="6"/>
        <v>43777507</v>
      </c>
      <c r="F35" s="68">
        <f t="shared" si="6"/>
        <v>0</v>
      </c>
      <c r="G35" s="68">
        <f t="shared" si="6"/>
        <v>60331087</v>
      </c>
      <c r="H35" s="68">
        <f t="shared" si="6"/>
        <v>0</v>
      </c>
      <c r="I35" s="68">
        <f t="shared" si="6"/>
        <v>69153853</v>
      </c>
      <c r="J35" s="68">
        <f t="shared" si="6"/>
        <v>0</v>
      </c>
      <c r="K35" s="68">
        <f t="shared" si="6"/>
        <v>829677</v>
      </c>
      <c r="L35" s="68">
        <f t="shared" si="6"/>
        <v>0</v>
      </c>
      <c r="M35" s="68">
        <f t="shared" si="6"/>
        <v>4755409</v>
      </c>
      <c r="N35" s="68">
        <f t="shared" si="6"/>
        <v>0</v>
      </c>
      <c r="O35" s="68">
        <v>178847533.48</v>
      </c>
      <c r="P35" s="68"/>
      <c r="Q35" s="68">
        <v>254568264</v>
      </c>
      <c r="R35" s="103"/>
      <c r="S35" s="103"/>
    </row>
    <row r="36" spans="2:19" ht="12.75">
      <c r="B36" s="18" t="s">
        <v>160</v>
      </c>
      <c r="C36" s="74"/>
      <c r="D36" s="68"/>
      <c r="E36" s="74"/>
      <c r="F36" s="68"/>
      <c r="G36" s="74"/>
      <c r="H36" s="68"/>
      <c r="I36" s="74">
        <v>1725148</v>
      </c>
      <c r="J36" s="68"/>
      <c r="K36" s="74"/>
      <c r="L36" s="68"/>
      <c r="M36" s="74">
        <v>431094</v>
      </c>
      <c r="N36" s="68"/>
      <c r="O36" s="74">
        <v>2156242</v>
      </c>
      <c r="P36" s="68"/>
      <c r="Q36" s="74">
        <v>2579447</v>
      </c>
      <c r="R36" s="103"/>
      <c r="S36" s="103"/>
    </row>
    <row r="37" spans="3:19" ht="12.75">
      <c r="C37" s="68">
        <f aca="true" t="shared" si="7" ref="C37:N37">C35-C36</f>
        <v>0</v>
      </c>
      <c r="D37" s="68">
        <f t="shared" si="7"/>
        <v>0</v>
      </c>
      <c r="E37" s="68">
        <f t="shared" si="7"/>
        <v>43777507</v>
      </c>
      <c r="F37" s="68">
        <f t="shared" si="7"/>
        <v>0</v>
      </c>
      <c r="G37" s="68">
        <f t="shared" si="7"/>
        <v>60331087</v>
      </c>
      <c r="H37" s="68">
        <f t="shared" si="7"/>
        <v>0</v>
      </c>
      <c r="I37" s="68">
        <f t="shared" si="7"/>
        <v>67428705</v>
      </c>
      <c r="J37" s="68">
        <f t="shared" si="7"/>
        <v>0</v>
      </c>
      <c r="K37" s="68">
        <f t="shared" si="7"/>
        <v>829677</v>
      </c>
      <c r="L37" s="68">
        <f t="shared" si="7"/>
        <v>0</v>
      </c>
      <c r="M37" s="68">
        <f t="shared" si="7"/>
        <v>4324315</v>
      </c>
      <c r="N37" s="68">
        <f t="shared" si="7"/>
        <v>0</v>
      </c>
      <c r="O37" s="68">
        <v>176691291.48</v>
      </c>
      <c r="P37" s="68"/>
      <c r="Q37" s="68">
        <v>251988817</v>
      </c>
      <c r="R37" s="103"/>
      <c r="S37" s="103"/>
    </row>
    <row r="38" spans="2:19" ht="12.75">
      <c r="B38" s="18" t="s">
        <v>505</v>
      </c>
      <c r="C38" s="68">
        <f>C71</f>
        <v>1765976</v>
      </c>
      <c r="D38" s="68">
        <f aca="true" t="shared" si="8" ref="D38:M38">D71</f>
        <v>0</v>
      </c>
      <c r="E38" s="68">
        <f t="shared" si="8"/>
        <v>1898568</v>
      </c>
      <c r="F38" s="68">
        <f t="shared" si="8"/>
        <v>0</v>
      </c>
      <c r="G38" s="68">
        <f t="shared" si="8"/>
        <v>4064393</v>
      </c>
      <c r="H38" s="68">
        <f t="shared" si="8"/>
        <v>0</v>
      </c>
      <c r="I38" s="68">
        <f t="shared" si="8"/>
        <v>8079294</v>
      </c>
      <c r="J38" s="68">
        <f t="shared" si="8"/>
        <v>0</v>
      </c>
      <c r="K38" s="68">
        <f t="shared" si="8"/>
        <v>2678329</v>
      </c>
      <c r="L38" s="68">
        <f t="shared" si="8"/>
        <v>0</v>
      </c>
      <c r="M38" s="68">
        <f t="shared" si="8"/>
        <v>1523285</v>
      </c>
      <c r="N38" s="68"/>
      <c r="O38" s="68">
        <v>20009845</v>
      </c>
      <c r="P38" s="68"/>
      <c r="Q38" s="68">
        <v>22741437</v>
      </c>
      <c r="R38" s="103"/>
      <c r="S38" s="103"/>
    </row>
    <row r="39" spans="2:19" ht="13.5" thickBot="1">
      <c r="B39" s="8" t="s">
        <v>184</v>
      </c>
      <c r="C39" s="85">
        <f>C37+C38</f>
        <v>1765976</v>
      </c>
      <c r="D39" s="85">
        <f aca="true" t="shared" si="9" ref="D39:N39">D37+D38</f>
        <v>0</v>
      </c>
      <c r="E39" s="85">
        <f t="shared" si="9"/>
        <v>45676075</v>
      </c>
      <c r="F39" s="85">
        <f t="shared" si="9"/>
        <v>0</v>
      </c>
      <c r="G39" s="85">
        <f t="shared" si="9"/>
        <v>64395480</v>
      </c>
      <c r="H39" s="85">
        <f t="shared" si="9"/>
        <v>0</v>
      </c>
      <c r="I39" s="85">
        <f t="shared" si="9"/>
        <v>75507999</v>
      </c>
      <c r="J39" s="85">
        <f t="shared" si="9"/>
        <v>0</v>
      </c>
      <c r="K39" s="85">
        <f t="shared" si="9"/>
        <v>3508006</v>
      </c>
      <c r="L39" s="85">
        <f t="shared" si="9"/>
        <v>0</v>
      </c>
      <c r="M39" s="85">
        <f t="shared" si="9"/>
        <v>5847600</v>
      </c>
      <c r="N39" s="85">
        <f t="shared" si="9"/>
        <v>0</v>
      </c>
      <c r="O39" s="85">
        <v>196701136.48</v>
      </c>
      <c r="P39" s="106"/>
      <c r="Q39" s="85">
        <v>274730254</v>
      </c>
      <c r="R39" s="103"/>
      <c r="S39" s="103"/>
    </row>
    <row r="40" spans="1:18" ht="13.5" thickTop="1">
      <c r="A40" s="101" t="s">
        <v>602</v>
      </c>
      <c r="B40" s="8" t="s">
        <v>554</v>
      </c>
      <c r="C40" s="68"/>
      <c r="D40" s="68"/>
      <c r="E40" s="68"/>
      <c r="F40" s="68"/>
      <c r="G40" s="68"/>
      <c r="H40" s="68"/>
      <c r="I40" s="68"/>
      <c r="J40" s="68"/>
      <c r="K40" s="68"/>
      <c r="L40" s="68"/>
      <c r="M40" s="68"/>
      <c r="N40" s="68"/>
      <c r="O40" s="68"/>
      <c r="P40" s="68"/>
      <c r="Q40" s="68"/>
      <c r="R40" s="103"/>
    </row>
    <row r="41" spans="3:18" ht="12.75">
      <c r="C41" s="68"/>
      <c r="D41" s="68"/>
      <c r="E41" s="68"/>
      <c r="F41" s="68"/>
      <c r="G41" s="68"/>
      <c r="H41" s="68"/>
      <c r="I41" s="68"/>
      <c r="J41" s="68"/>
      <c r="K41" s="68"/>
      <c r="L41" s="68"/>
      <c r="M41" s="68"/>
      <c r="N41" s="68"/>
      <c r="O41" s="68"/>
      <c r="P41" s="68"/>
      <c r="Q41" s="68"/>
      <c r="R41" s="103"/>
    </row>
    <row r="42" spans="2:18" ht="12.75">
      <c r="B42" s="18" t="s">
        <v>187</v>
      </c>
      <c r="C42" s="68"/>
      <c r="D42" s="68"/>
      <c r="E42" s="68"/>
      <c r="F42" s="68"/>
      <c r="G42" s="68"/>
      <c r="H42" s="68"/>
      <c r="I42" s="68"/>
      <c r="J42" s="68"/>
      <c r="K42" s="68"/>
      <c r="L42" s="68"/>
      <c r="M42" s="68"/>
      <c r="N42" s="68"/>
      <c r="O42" s="68"/>
      <c r="P42" s="68"/>
      <c r="Q42" s="68"/>
      <c r="R42" s="103"/>
    </row>
    <row r="43" spans="3:18" ht="12.75">
      <c r="C43" s="4" t="s">
        <v>298</v>
      </c>
      <c r="D43" s="4"/>
      <c r="E43" s="4" t="s">
        <v>300</v>
      </c>
      <c r="F43" s="4"/>
      <c r="G43" s="4" t="s">
        <v>301</v>
      </c>
      <c r="H43" s="4"/>
      <c r="I43" s="4" t="s">
        <v>302</v>
      </c>
      <c r="J43" s="4"/>
      <c r="K43" s="4" t="s">
        <v>303</v>
      </c>
      <c r="L43" s="4"/>
      <c r="M43" s="4" t="s">
        <v>304</v>
      </c>
      <c r="N43" s="4"/>
      <c r="O43" s="4">
        <v>2015</v>
      </c>
      <c r="P43" s="4"/>
      <c r="Q43" s="4">
        <v>2014</v>
      </c>
      <c r="R43" s="103"/>
    </row>
    <row r="44" spans="3:18" ht="12.75">
      <c r="C44" s="4"/>
      <c r="D44" s="4"/>
      <c r="E44" s="4"/>
      <c r="F44" s="4"/>
      <c r="G44" s="4"/>
      <c r="H44" s="4"/>
      <c r="I44" s="4"/>
      <c r="J44" s="4"/>
      <c r="K44" s="4"/>
      <c r="L44" s="4"/>
      <c r="M44" s="4"/>
      <c r="N44" s="4"/>
      <c r="O44" s="4"/>
      <c r="P44" s="4"/>
      <c r="Q44" s="4"/>
      <c r="R44" s="103"/>
    </row>
    <row r="45" spans="2:19" ht="12.75">
      <c r="B45" s="18" t="s">
        <v>161</v>
      </c>
      <c r="C45" s="68">
        <v>0</v>
      </c>
      <c r="D45" s="68"/>
      <c r="E45" s="68">
        <v>6245120</v>
      </c>
      <c r="F45" s="68"/>
      <c r="G45" s="68">
        <v>7512690</v>
      </c>
      <c r="H45" s="68"/>
      <c r="I45" s="68">
        <v>19546321</v>
      </c>
      <c r="J45" s="68"/>
      <c r="K45" s="68">
        <v>10842136</v>
      </c>
      <c r="L45" s="68"/>
      <c r="M45" s="68">
        <v>5824012</v>
      </c>
      <c r="N45" s="68"/>
      <c r="O45" s="68">
        <v>49970279</v>
      </c>
      <c r="P45" s="68"/>
      <c r="Q45" s="68">
        <v>42415664</v>
      </c>
      <c r="R45" s="103"/>
      <c r="S45" s="103"/>
    </row>
    <row r="46" spans="2:19" ht="12.75">
      <c r="B46" s="18" t="s">
        <v>317</v>
      </c>
      <c r="C46" s="74">
        <v>0</v>
      </c>
      <c r="D46" s="68"/>
      <c r="E46" s="74">
        <v>45842369</v>
      </c>
      <c r="F46" s="68"/>
      <c r="G46" s="74">
        <f>46879325+10000000</f>
        <v>56879325</v>
      </c>
      <c r="H46" s="68"/>
      <c r="I46" s="74">
        <f>68542961-10000000+17649</f>
        <v>58560610</v>
      </c>
      <c r="J46" s="68"/>
      <c r="K46" s="74">
        <v>0</v>
      </c>
      <c r="L46" s="68"/>
      <c r="M46" s="74">
        <v>4517116</v>
      </c>
      <c r="N46" s="68"/>
      <c r="O46" s="74">
        <v>165799420</v>
      </c>
      <c r="P46" s="68"/>
      <c r="Q46" s="74">
        <v>250579546</v>
      </c>
      <c r="R46" s="103"/>
      <c r="S46" s="103"/>
    </row>
    <row r="47" spans="3:19" ht="12.75">
      <c r="C47" s="68">
        <f>C45+C46</f>
        <v>0</v>
      </c>
      <c r="D47" s="68">
        <f aca="true" t="shared" si="10" ref="D47:M47">D45+D46</f>
        <v>0</v>
      </c>
      <c r="E47" s="68">
        <f t="shared" si="10"/>
        <v>52087489</v>
      </c>
      <c r="F47" s="68">
        <f t="shared" si="10"/>
        <v>0</v>
      </c>
      <c r="G47" s="68">
        <f t="shared" si="10"/>
        <v>64392015</v>
      </c>
      <c r="H47" s="68">
        <f t="shared" si="10"/>
        <v>0</v>
      </c>
      <c r="I47" s="68">
        <f t="shared" si="10"/>
        <v>78106931</v>
      </c>
      <c r="J47" s="68">
        <f t="shared" si="10"/>
        <v>0</v>
      </c>
      <c r="K47" s="68">
        <f t="shared" si="10"/>
        <v>10842136</v>
      </c>
      <c r="L47" s="68">
        <f t="shared" si="10"/>
        <v>0</v>
      </c>
      <c r="M47" s="68">
        <f t="shared" si="10"/>
        <v>10341128</v>
      </c>
      <c r="N47" s="68"/>
      <c r="O47" s="68">
        <v>215769699</v>
      </c>
      <c r="P47" s="68"/>
      <c r="Q47" s="68">
        <v>292995210</v>
      </c>
      <c r="R47" s="103"/>
      <c r="S47" s="103"/>
    </row>
    <row r="48" spans="2:19" ht="12.75">
      <c r="B48" s="18" t="s">
        <v>318</v>
      </c>
      <c r="C48" s="68">
        <v>0</v>
      </c>
      <c r="D48" s="68"/>
      <c r="E48" s="68">
        <f>8035420+2000000</f>
        <v>10035420</v>
      </c>
      <c r="F48" s="68"/>
      <c r="G48" s="68">
        <f>14526135-6000000-2000000</f>
        <v>6526135</v>
      </c>
      <c r="H48" s="68"/>
      <c r="I48" s="68">
        <f>16512458-1000000</f>
        <v>15512458</v>
      </c>
      <c r="J48" s="68"/>
      <c r="K48" s="68">
        <f>7512459+2500000</f>
        <v>10012459</v>
      </c>
      <c r="L48" s="68"/>
      <c r="M48" s="68">
        <f>2289328+6000000-2500000+1000000</f>
        <v>6789328</v>
      </c>
      <c r="N48" s="68"/>
      <c r="O48" s="68">
        <v>48875799.52</v>
      </c>
      <c r="P48" s="68"/>
      <c r="Q48" s="68">
        <v>49970279</v>
      </c>
      <c r="R48" s="103"/>
      <c r="S48" s="103"/>
    </row>
    <row r="49" spans="2:19" ht="13.5" thickBot="1">
      <c r="B49" s="8" t="s">
        <v>185</v>
      </c>
      <c r="C49" s="85">
        <f>C47-C48</f>
        <v>0</v>
      </c>
      <c r="D49" s="106"/>
      <c r="E49" s="85">
        <f>E47-E48</f>
        <v>42052069</v>
      </c>
      <c r="F49" s="85">
        <f aca="true" t="shared" si="11" ref="F49:P49">F47-F48</f>
        <v>0</v>
      </c>
      <c r="G49" s="85">
        <f t="shared" si="11"/>
        <v>57865880</v>
      </c>
      <c r="H49" s="85">
        <f t="shared" si="11"/>
        <v>0</v>
      </c>
      <c r="I49" s="85">
        <f t="shared" si="11"/>
        <v>62594473</v>
      </c>
      <c r="J49" s="85">
        <f t="shared" si="11"/>
        <v>0</v>
      </c>
      <c r="K49" s="85">
        <f t="shared" si="11"/>
        <v>829677</v>
      </c>
      <c r="L49" s="85">
        <f t="shared" si="11"/>
        <v>0</v>
      </c>
      <c r="M49" s="85">
        <f t="shared" si="11"/>
        <v>3551800</v>
      </c>
      <c r="N49" s="85">
        <f t="shared" si="11"/>
        <v>0</v>
      </c>
      <c r="O49" s="85">
        <v>166893899.48</v>
      </c>
      <c r="P49" s="85">
        <f t="shared" si="11"/>
        <v>0</v>
      </c>
      <c r="Q49" s="85">
        <v>243024931</v>
      </c>
      <c r="R49" s="103"/>
      <c r="S49" s="103"/>
    </row>
    <row r="50" spans="3:18" ht="13.5" thickTop="1">
      <c r="C50" s="68"/>
      <c r="D50" s="68"/>
      <c r="E50" s="68"/>
      <c r="F50" s="68"/>
      <c r="G50" s="68"/>
      <c r="H50" s="68"/>
      <c r="I50" s="68"/>
      <c r="J50" s="68"/>
      <c r="K50" s="68"/>
      <c r="L50" s="68"/>
      <c r="M50" s="68"/>
      <c r="N50" s="68"/>
      <c r="O50" s="68"/>
      <c r="P50" s="68"/>
      <c r="Q50" s="68"/>
      <c r="R50" s="103"/>
    </row>
    <row r="51" spans="2:17" ht="12.75">
      <c r="B51" s="8"/>
      <c r="C51" s="68"/>
      <c r="D51" s="68"/>
      <c r="E51" s="68"/>
      <c r="F51" s="68"/>
      <c r="G51" s="68"/>
      <c r="H51" s="68"/>
      <c r="I51" s="68"/>
      <c r="J51" s="68"/>
      <c r="K51" s="68"/>
      <c r="L51" s="68"/>
      <c r="M51" s="68"/>
      <c r="N51" s="68"/>
      <c r="O51" s="68"/>
      <c r="P51" s="68"/>
      <c r="Q51" s="68"/>
    </row>
    <row r="52" spans="2:17" ht="12.75">
      <c r="B52" s="18" t="s">
        <v>259</v>
      </c>
      <c r="C52" s="68"/>
      <c r="D52" s="68"/>
      <c r="E52" s="68"/>
      <c r="F52" s="68"/>
      <c r="G52" s="68"/>
      <c r="H52" s="68"/>
      <c r="I52" s="68"/>
      <c r="J52" s="68"/>
      <c r="K52" s="68"/>
      <c r="L52" s="68"/>
      <c r="M52" s="68"/>
      <c r="N52" s="68"/>
      <c r="O52" s="68"/>
      <c r="P52" s="68"/>
      <c r="Q52" s="68"/>
    </row>
    <row r="53" spans="3:17" ht="12.75">
      <c r="C53" s="68"/>
      <c r="D53" s="68"/>
      <c r="E53" s="68"/>
      <c r="F53" s="68"/>
      <c r="G53" s="68"/>
      <c r="H53" s="68"/>
      <c r="I53" s="68"/>
      <c r="J53" s="68"/>
      <c r="K53" s="68"/>
      <c r="L53" s="68"/>
      <c r="M53" s="68"/>
      <c r="N53" s="68"/>
      <c r="O53" s="68"/>
      <c r="P53" s="68"/>
      <c r="Q53" s="68"/>
    </row>
    <row r="54" spans="2:17" ht="12.75">
      <c r="B54" s="8" t="s">
        <v>31</v>
      </c>
      <c r="C54" s="68"/>
      <c r="D54" s="68"/>
      <c r="E54" s="68"/>
      <c r="F54" s="68"/>
      <c r="G54" s="68"/>
      <c r="H54" s="68"/>
      <c r="I54" s="68"/>
      <c r="J54" s="68"/>
      <c r="K54" s="68"/>
      <c r="L54" s="68"/>
      <c r="M54" s="68"/>
      <c r="N54" s="68"/>
      <c r="O54" s="68"/>
      <c r="P54" s="68"/>
      <c r="Q54" s="68"/>
    </row>
    <row r="55" spans="5:17" ht="12.75">
      <c r="E55" s="68"/>
      <c r="F55" s="68"/>
      <c r="G55" s="68"/>
      <c r="H55" s="68"/>
      <c r="I55" s="68"/>
      <c r="J55" s="68"/>
      <c r="K55" s="68"/>
      <c r="L55" s="68"/>
      <c r="M55" s="4" t="s">
        <v>388</v>
      </c>
      <c r="N55" s="4"/>
      <c r="O55" s="4" t="s">
        <v>260</v>
      </c>
      <c r="P55" s="68"/>
      <c r="Q55" s="68"/>
    </row>
    <row r="56" spans="2:17" ht="12.75">
      <c r="B56" s="18" t="s">
        <v>255</v>
      </c>
      <c r="E56" s="68"/>
      <c r="F56" s="68"/>
      <c r="G56" s="68"/>
      <c r="H56" s="68"/>
      <c r="I56" s="68"/>
      <c r="J56" s="68"/>
      <c r="K56" s="68"/>
      <c r="L56" s="68"/>
      <c r="M56" s="68">
        <v>407156</v>
      </c>
      <c r="N56" s="68"/>
      <c r="O56" s="68">
        <v>49970279</v>
      </c>
      <c r="P56" s="68"/>
      <c r="Q56" s="68"/>
    </row>
    <row r="57" spans="2:19" ht="12.75">
      <c r="B57" s="18" t="s">
        <v>256</v>
      </c>
      <c r="E57" s="68"/>
      <c r="F57" s="68"/>
      <c r="G57" s="68"/>
      <c r="H57" s="68"/>
      <c r="I57" s="68"/>
      <c r="J57" s="68"/>
      <c r="K57" s="68"/>
      <c r="L57" s="68"/>
      <c r="M57" s="74">
        <v>1730980</v>
      </c>
      <c r="N57" s="68"/>
      <c r="O57" s="74">
        <f>O46</f>
        <v>165799420</v>
      </c>
      <c r="P57" s="68"/>
      <c r="Q57" s="68"/>
      <c r="S57" s="68"/>
    </row>
    <row r="58" spans="5:19" ht="12.75">
      <c r="E58" s="68"/>
      <c r="F58" s="68"/>
      <c r="G58" s="68"/>
      <c r="H58" s="68"/>
      <c r="I58" s="68"/>
      <c r="J58" s="68"/>
      <c r="K58" s="68"/>
      <c r="L58" s="68"/>
      <c r="M58" s="68">
        <f>SUM(M56:M57)</f>
        <v>2138136</v>
      </c>
      <c r="N58" s="68">
        <v>0</v>
      </c>
      <c r="O58" s="68">
        <f>SUM(O56:O57)</f>
        <v>215769699</v>
      </c>
      <c r="P58" s="68"/>
      <c r="Q58" s="68"/>
      <c r="S58" s="68"/>
    </row>
    <row r="59" spans="2:19" ht="12.75">
      <c r="B59" s="18" t="s">
        <v>257</v>
      </c>
      <c r="E59" s="68"/>
      <c r="F59" s="68"/>
      <c r="G59" s="68"/>
      <c r="H59" s="68"/>
      <c r="I59" s="68"/>
      <c r="J59" s="68"/>
      <c r="K59" s="68"/>
      <c r="L59" s="68"/>
      <c r="M59" s="68">
        <v>403125</v>
      </c>
      <c r="N59" s="68"/>
      <c r="O59" s="68">
        <f>O48</f>
        <v>48875799.52</v>
      </c>
      <c r="P59" s="68"/>
      <c r="Q59" s="68"/>
      <c r="S59" s="68"/>
    </row>
    <row r="60" spans="2:20" ht="13.5" thickBot="1">
      <c r="B60" s="8" t="s">
        <v>258</v>
      </c>
      <c r="E60" s="68"/>
      <c r="F60" s="68"/>
      <c r="G60" s="68"/>
      <c r="H60" s="68"/>
      <c r="I60" s="68"/>
      <c r="J60" s="68"/>
      <c r="K60" s="68"/>
      <c r="L60" s="68"/>
      <c r="M60" s="85">
        <f>M58-M59</f>
        <v>1735011</v>
      </c>
      <c r="N60" s="109">
        <f>N58-N59</f>
        <v>0</v>
      </c>
      <c r="O60" s="85">
        <f>O58-O59</f>
        <v>166893899.48</v>
      </c>
      <c r="P60" s="68"/>
      <c r="Q60" s="68"/>
      <c r="S60" s="68" t="s">
        <v>575</v>
      </c>
      <c r="T60" s="103">
        <v>166893899.48</v>
      </c>
    </row>
    <row r="61" spans="3:20" ht="13.5" thickTop="1">
      <c r="C61" s="68"/>
      <c r="D61" s="68"/>
      <c r="E61" s="68"/>
      <c r="F61" s="68"/>
      <c r="G61" s="68"/>
      <c r="H61" s="68"/>
      <c r="I61" s="68"/>
      <c r="J61" s="68"/>
      <c r="K61" s="68"/>
      <c r="L61" s="68"/>
      <c r="M61" s="68"/>
      <c r="N61" s="68"/>
      <c r="O61" s="68"/>
      <c r="P61" s="68"/>
      <c r="Q61" s="68"/>
      <c r="S61" s="18" t="s">
        <v>188</v>
      </c>
      <c r="T61" s="68">
        <v>10047943</v>
      </c>
    </row>
    <row r="62" spans="3:20" ht="12.75">
      <c r="C62" s="68"/>
      <c r="D62" s="68"/>
      <c r="E62" s="68"/>
      <c r="F62" s="68"/>
      <c r="G62" s="68"/>
      <c r="H62" s="68"/>
      <c r="I62" s="68"/>
      <c r="J62" s="68"/>
      <c r="K62" s="68"/>
      <c r="L62" s="68"/>
      <c r="M62" s="68"/>
      <c r="N62" s="68"/>
      <c r="O62" s="68"/>
      <c r="P62" s="68"/>
      <c r="Q62" s="68"/>
      <c r="S62" s="18" t="s">
        <v>163</v>
      </c>
      <c r="T62" s="68">
        <v>3057258</v>
      </c>
    </row>
    <row r="63" spans="3:20" ht="12.75">
      <c r="C63" s="68"/>
      <c r="D63" s="68"/>
      <c r="E63" s="68"/>
      <c r="F63" s="68"/>
      <c r="G63" s="68"/>
      <c r="H63" s="68"/>
      <c r="I63" s="68"/>
      <c r="J63" s="68"/>
      <c r="K63" s="68"/>
      <c r="L63" s="68"/>
      <c r="M63" s="68"/>
      <c r="N63" s="68"/>
      <c r="O63" s="68"/>
      <c r="P63" s="68"/>
      <c r="Q63" s="68"/>
      <c r="S63" s="18" t="s">
        <v>164</v>
      </c>
      <c r="T63" s="68">
        <v>244338</v>
      </c>
    </row>
    <row r="64" spans="1:20" ht="12.75">
      <c r="A64" s="101" t="s">
        <v>603</v>
      </c>
      <c r="B64" s="8" t="s">
        <v>538</v>
      </c>
      <c r="C64" s="68"/>
      <c r="D64" s="68"/>
      <c r="E64" s="68"/>
      <c r="F64" s="68"/>
      <c r="G64" s="68"/>
      <c r="H64" s="68"/>
      <c r="I64" s="68"/>
      <c r="J64" s="68"/>
      <c r="K64" s="68"/>
      <c r="L64" s="68"/>
      <c r="M64" s="68"/>
      <c r="N64" s="68"/>
      <c r="O64" s="68"/>
      <c r="P64" s="68"/>
      <c r="Q64" s="68"/>
      <c r="S64" s="18" t="s">
        <v>180</v>
      </c>
      <c r="T64" s="68">
        <v>9391898</v>
      </c>
    </row>
    <row r="65" spans="3:20" ht="13.5" thickBot="1">
      <c r="C65" s="68"/>
      <c r="D65" s="68"/>
      <c r="E65" s="68"/>
      <c r="F65" s="68"/>
      <c r="G65" s="68"/>
      <c r="H65" s="68"/>
      <c r="I65" s="68"/>
      <c r="J65" s="68"/>
      <c r="K65" s="68"/>
      <c r="L65" s="68"/>
      <c r="M65" s="68"/>
      <c r="N65" s="68"/>
      <c r="O65" s="68"/>
      <c r="P65" s="68"/>
      <c r="Q65" s="68"/>
      <c r="S65" s="8" t="s">
        <v>40</v>
      </c>
      <c r="T65" s="85">
        <v>22741437</v>
      </c>
    </row>
    <row r="66" spans="3:20" ht="13.5" thickTop="1">
      <c r="C66" s="4" t="s">
        <v>298</v>
      </c>
      <c r="D66" s="4"/>
      <c r="E66" s="4" t="s">
        <v>300</v>
      </c>
      <c r="F66" s="4"/>
      <c r="G66" s="4" t="s">
        <v>301</v>
      </c>
      <c r="H66" s="4"/>
      <c r="I66" s="4" t="s">
        <v>302</v>
      </c>
      <c r="J66" s="4"/>
      <c r="K66" s="4" t="s">
        <v>303</v>
      </c>
      <c r="L66" s="4"/>
      <c r="M66" s="4" t="s">
        <v>304</v>
      </c>
      <c r="N66" s="4"/>
      <c r="O66" s="4">
        <v>2015</v>
      </c>
      <c r="P66" s="4"/>
      <c r="Q66" s="4">
        <v>2014</v>
      </c>
      <c r="S66" s="103"/>
      <c r="T66" s="103">
        <f>T60+T65</f>
        <v>189635336.48</v>
      </c>
    </row>
    <row r="67" spans="2:20" ht="12.75">
      <c r="B67" s="18" t="s">
        <v>188</v>
      </c>
      <c r="C67" s="68">
        <v>0</v>
      </c>
      <c r="D67" s="68"/>
      <c r="E67" s="68">
        <v>1325450</v>
      </c>
      <c r="F67" s="68"/>
      <c r="G67" s="68">
        <v>2536451</v>
      </c>
      <c r="H67" s="68"/>
      <c r="I67" s="68">
        <f>3212450+1426973</f>
        <v>4639423</v>
      </c>
      <c r="J67" s="68"/>
      <c r="K67" s="68">
        <v>0</v>
      </c>
      <c r="L67" s="68"/>
      <c r="M67" s="68">
        <v>751230</v>
      </c>
      <c r="N67" s="68"/>
      <c r="O67" s="68">
        <v>9252554</v>
      </c>
      <c r="P67" s="68"/>
      <c r="Q67" s="68">
        <v>10047943</v>
      </c>
      <c r="R67" s="103"/>
      <c r="S67" s="18" t="s">
        <v>158</v>
      </c>
      <c r="T67" s="103">
        <v>9374</v>
      </c>
    </row>
    <row r="68" spans="2:20" ht="12.75">
      <c r="B68" s="18" t="s">
        <v>163</v>
      </c>
      <c r="C68" s="68">
        <v>0</v>
      </c>
      <c r="D68" s="68"/>
      <c r="E68" s="68">
        <v>312458</v>
      </c>
      <c r="F68" s="68"/>
      <c r="G68" s="68">
        <v>526890</v>
      </c>
      <c r="H68" s="68"/>
      <c r="I68" s="68">
        <v>1220140</v>
      </c>
      <c r="J68" s="68"/>
      <c r="K68" s="68">
        <v>0</v>
      </c>
      <c r="L68" s="68"/>
      <c r="M68" s="68">
        <v>17788</v>
      </c>
      <c r="N68" s="68"/>
      <c r="O68" s="68">
        <v>2077276</v>
      </c>
      <c r="P68" s="68"/>
      <c r="Q68" s="68">
        <v>3057258</v>
      </c>
      <c r="R68" s="103"/>
      <c r="S68" s="103">
        <v>9374187</v>
      </c>
      <c r="T68" s="103">
        <f>SUM(T66:T67)</f>
        <v>189644710.48</v>
      </c>
    </row>
    <row r="69" spans="2:19" ht="12.75">
      <c r="B69" s="18" t="s">
        <v>164</v>
      </c>
      <c r="C69" s="68">
        <v>0</v>
      </c>
      <c r="D69" s="68"/>
      <c r="E69" s="68">
        <v>17250</v>
      </c>
      <c r="F69" s="68"/>
      <c r="G69" s="68">
        <v>65126</v>
      </c>
      <c r="H69" s="68"/>
      <c r="I69" s="68">
        <v>95490</v>
      </c>
      <c r="J69" s="68"/>
      <c r="K69" s="68">
        <v>0</v>
      </c>
      <c r="L69" s="68"/>
      <c r="M69" s="68">
        <v>12117</v>
      </c>
      <c r="N69" s="68"/>
      <c r="O69" s="68">
        <v>189983</v>
      </c>
      <c r="P69" s="68"/>
      <c r="Q69" s="68">
        <v>244338</v>
      </c>
      <c r="R69" s="103"/>
      <c r="S69" s="103"/>
    </row>
    <row r="70" spans="2:19" ht="12.75">
      <c r="B70" s="18" t="s">
        <v>180</v>
      </c>
      <c r="C70" s="68">
        <f>'N-1'!I22+'N-1'!M22-C108</f>
        <v>1765976</v>
      </c>
      <c r="D70" s="68"/>
      <c r="E70" s="68">
        <f>'N-1'!I26+'N-1'!M26</f>
        <v>243410</v>
      </c>
      <c r="F70" s="68"/>
      <c r="G70" s="68">
        <f>'N-1'!I30+'N-1'!M30</f>
        <v>935926</v>
      </c>
      <c r="H70" s="68"/>
      <c r="I70" s="68">
        <f>'N-1'!I41+'N-1'!M41-I108</f>
        <v>2124241</v>
      </c>
      <c r="J70" s="68"/>
      <c r="K70" s="68">
        <f>'N-1'!I56-K108</f>
        <v>2678329</v>
      </c>
      <c r="L70" s="68"/>
      <c r="M70" s="68">
        <f>'N-1'!I69-M108</f>
        <v>742150</v>
      </c>
      <c r="N70" s="68"/>
      <c r="O70" s="68">
        <v>8490032</v>
      </c>
      <c r="P70" s="68"/>
      <c r="Q70" s="68">
        <v>9391898</v>
      </c>
      <c r="R70" s="103"/>
      <c r="S70" s="103"/>
    </row>
    <row r="71" spans="2:19" ht="13.5" thickBot="1">
      <c r="B71" s="8" t="s">
        <v>40</v>
      </c>
      <c r="C71" s="85">
        <f>SUM(C67:C70)</f>
        <v>1765976</v>
      </c>
      <c r="D71" s="106"/>
      <c r="E71" s="85">
        <f>SUM(E67:E70)</f>
        <v>1898568</v>
      </c>
      <c r="F71" s="106"/>
      <c r="G71" s="85">
        <f>SUM(G67:G70)</f>
        <v>4064393</v>
      </c>
      <c r="H71" s="106"/>
      <c r="I71" s="85">
        <f>SUM(I67:I70)</f>
        <v>8079294</v>
      </c>
      <c r="J71" s="106"/>
      <c r="K71" s="85">
        <f>SUM(K67:K70)</f>
        <v>2678329</v>
      </c>
      <c r="L71" s="106"/>
      <c r="M71" s="85">
        <f>SUM(M67:M70)</f>
        <v>1523285</v>
      </c>
      <c r="N71" s="106"/>
      <c r="O71" s="85">
        <v>20009845</v>
      </c>
      <c r="P71" s="106"/>
      <c r="Q71" s="85">
        <v>22741437</v>
      </c>
      <c r="R71" s="103"/>
      <c r="S71" s="103"/>
    </row>
    <row r="72" spans="3:19" ht="13.5" thickTop="1">
      <c r="C72" s="68"/>
      <c r="D72" s="68"/>
      <c r="E72" s="68"/>
      <c r="F72" s="68"/>
      <c r="G72" s="68"/>
      <c r="H72" s="68"/>
      <c r="I72" s="68"/>
      <c r="J72" s="68"/>
      <c r="K72" s="68"/>
      <c r="L72" s="68"/>
      <c r="M72" s="68"/>
      <c r="N72" s="68"/>
      <c r="O72" s="68"/>
      <c r="P72" s="68"/>
      <c r="Q72" s="68"/>
      <c r="R72" s="103"/>
      <c r="S72" s="103"/>
    </row>
    <row r="73" spans="1:19" ht="12.75">
      <c r="A73" s="39" t="s">
        <v>217</v>
      </c>
      <c r="B73" s="8" t="s">
        <v>553</v>
      </c>
      <c r="C73" s="68"/>
      <c r="D73" s="68"/>
      <c r="E73" s="68"/>
      <c r="F73" s="68"/>
      <c r="G73" s="68"/>
      <c r="H73" s="68"/>
      <c r="I73" s="68"/>
      <c r="J73" s="68"/>
      <c r="K73" s="68"/>
      <c r="L73" s="68"/>
      <c r="M73" s="68"/>
      <c r="N73" s="68"/>
      <c r="O73" s="68"/>
      <c r="P73" s="68"/>
      <c r="Q73" s="68"/>
      <c r="R73" s="103"/>
      <c r="S73" s="103">
        <f>M73+K73+I73+G73+E73+C73</f>
        <v>0</v>
      </c>
    </row>
    <row r="74" spans="2:19" ht="12.75">
      <c r="B74" s="103"/>
      <c r="C74" s="68"/>
      <c r="D74" s="68"/>
      <c r="E74" s="68"/>
      <c r="F74" s="68"/>
      <c r="G74" s="68"/>
      <c r="H74" s="68"/>
      <c r="I74" s="68"/>
      <c r="J74" s="68"/>
      <c r="K74" s="68"/>
      <c r="L74" s="68"/>
      <c r="M74" s="68"/>
      <c r="N74" s="68"/>
      <c r="O74" s="68"/>
      <c r="P74" s="68"/>
      <c r="Q74" s="68"/>
      <c r="R74" s="103"/>
      <c r="S74" s="103">
        <f>M74+K74+I74+G74+E74+C74</f>
        <v>0</v>
      </c>
    </row>
    <row r="75" spans="3:19" ht="12.75">
      <c r="C75" s="4" t="s">
        <v>298</v>
      </c>
      <c r="D75" s="4"/>
      <c r="E75" s="4" t="s">
        <v>300</v>
      </c>
      <c r="F75" s="4"/>
      <c r="G75" s="4" t="s">
        <v>301</v>
      </c>
      <c r="H75" s="4"/>
      <c r="I75" s="4" t="s">
        <v>302</v>
      </c>
      <c r="J75" s="4"/>
      <c r="K75" s="4" t="s">
        <v>303</v>
      </c>
      <c r="L75" s="4"/>
      <c r="M75" s="4" t="s">
        <v>304</v>
      </c>
      <c r="N75" s="4"/>
      <c r="O75" s="4">
        <v>2015</v>
      </c>
      <c r="P75" s="4"/>
      <c r="Q75" s="4">
        <v>2014</v>
      </c>
      <c r="R75" s="103"/>
      <c r="S75" s="103"/>
    </row>
    <row r="76" spans="3:19" ht="12.75">
      <c r="C76" s="4"/>
      <c r="D76" s="4"/>
      <c r="E76" s="4"/>
      <c r="F76" s="4"/>
      <c r="G76" s="4"/>
      <c r="H76" s="4"/>
      <c r="I76" s="4"/>
      <c r="J76" s="4"/>
      <c r="K76" s="4"/>
      <c r="L76" s="4"/>
      <c r="M76" s="4"/>
      <c r="N76" s="4"/>
      <c r="O76" s="4"/>
      <c r="P76" s="4"/>
      <c r="Q76" s="4"/>
      <c r="R76" s="103"/>
      <c r="S76" s="103"/>
    </row>
    <row r="77" spans="2:19" ht="12.75">
      <c r="B77" s="18" t="s">
        <v>165</v>
      </c>
      <c r="C77" s="68">
        <v>0</v>
      </c>
      <c r="D77" s="68"/>
      <c r="E77" s="68">
        <v>1245368</v>
      </c>
      <c r="F77" s="68"/>
      <c r="G77" s="68">
        <v>2436785</v>
      </c>
      <c r="H77" s="68"/>
      <c r="I77" s="68">
        <f>4245120-17649</f>
        <v>4227471</v>
      </c>
      <c r="J77" s="68"/>
      <c r="K77" s="68">
        <v>0</v>
      </c>
      <c r="L77" s="68"/>
      <c r="M77" s="68">
        <v>658766</v>
      </c>
      <c r="N77" s="68"/>
      <c r="O77" s="68">
        <v>8568390</v>
      </c>
      <c r="P77" s="68"/>
      <c r="Q77" s="68">
        <v>8357959</v>
      </c>
      <c r="R77" s="103"/>
      <c r="S77" s="103"/>
    </row>
    <row r="78" spans="2:19" ht="12.75">
      <c r="B78" s="18" t="s">
        <v>222</v>
      </c>
      <c r="C78" s="68">
        <v>0</v>
      </c>
      <c r="D78" s="68"/>
      <c r="E78" s="68">
        <v>35000</v>
      </c>
      <c r="F78" s="68"/>
      <c r="G78" s="68">
        <v>45000</v>
      </c>
      <c r="H78" s="68"/>
      <c r="I78" s="68">
        <v>165000</v>
      </c>
      <c r="J78" s="68"/>
      <c r="K78" s="68">
        <v>0</v>
      </c>
      <c r="L78" s="68"/>
      <c r="M78" s="68">
        <v>25000</v>
      </c>
      <c r="N78" s="68"/>
      <c r="O78" s="68">
        <v>270000</v>
      </c>
      <c r="P78" s="68"/>
      <c r="Q78" s="68">
        <v>309304</v>
      </c>
      <c r="R78" s="103"/>
      <c r="S78" s="103"/>
    </row>
    <row r="79" spans="2:19" ht="12.75">
      <c r="B79" s="18" t="s">
        <v>270</v>
      </c>
      <c r="C79" s="68">
        <v>0</v>
      </c>
      <c r="D79" s="68"/>
      <c r="E79" s="68">
        <v>34120</v>
      </c>
      <c r="F79" s="68"/>
      <c r="G79" s="68">
        <v>85126</v>
      </c>
      <c r="H79" s="68"/>
      <c r="I79" s="68">
        <v>125320</v>
      </c>
      <c r="J79" s="68"/>
      <c r="K79" s="68">
        <v>0</v>
      </c>
      <c r="L79" s="68"/>
      <c r="M79" s="68">
        <v>26627</v>
      </c>
      <c r="N79" s="68"/>
      <c r="O79" s="68">
        <v>271193</v>
      </c>
      <c r="P79" s="68"/>
      <c r="Q79" s="68">
        <v>363141</v>
      </c>
      <c r="R79" s="103"/>
      <c r="S79" s="103"/>
    </row>
    <row r="80" spans="2:19" ht="12.75">
      <c r="B80" s="18" t="s">
        <v>144</v>
      </c>
      <c r="C80" s="68">
        <v>0</v>
      </c>
      <c r="D80" s="68"/>
      <c r="E80" s="68">
        <v>35420</v>
      </c>
      <c r="F80" s="68"/>
      <c r="G80" s="68">
        <v>65125</v>
      </c>
      <c r="H80" s="68"/>
      <c r="I80" s="68">
        <v>165120</v>
      </c>
      <c r="J80" s="68"/>
      <c r="K80" s="68">
        <v>0</v>
      </c>
      <c r="L80" s="68"/>
      <c r="M80" s="68">
        <v>17060</v>
      </c>
      <c r="N80" s="68"/>
      <c r="O80" s="68">
        <v>282725</v>
      </c>
      <c r="P80" s="68"/>
      <c r="Q80" s="68">
        <v>331151</v>
      </c>
      <c r="R80" s="103"/>
      <c r="S80" s="103"/>
    </row>
    <row r="81" spans="2:19" ht="12.75">
      <c r="B81" s="18" t="s">
        <v>166</v>
      </c>
      <c r="C81" s="68">
        <v>0</v>
      </c>
      <c r="D81" s="68"/>
      <c r="E81" s="68">
        <v>125460</v>
      </c>
      <c r="F81" s="68"/>
      <c r="G81" s="68">
        <v>178240</v>
      </c>
      <c r="H81" s="68"/>
      <c r="I81" s="68">
        <v>390125</v>
      </c>
      <c r="J81" s="68"/>
      <c r="K81" s="68">
        <v>0</v>
      </c>
      <c r="L81" s="68"/>
      <c r="M81" s="68">
        <v>28375</v>
      </c>
      <c r="N81" s="68"/>
      <c r="O81" s="68">
        <v>722200</v>
      </c>
      <c r="P81" s="68"/>
      <c r="Q81" s="68">
        <v>548951</v>
      </c>
      <c r="R81" s="103"/>
      <c r="S81" s="103"/>
    </row>
    <row r="82" spans="2:19" ht="12.75">
      <c r="B82" s="18" t="s">
        <v>211</v>
      </c>
      <c r="C82" s="68">
        <v>0</v>
      </c>
      <c r="D82" s="68"/>
      <c r="E82" s="68">
        <v>49780</v>
      </c>
      <c r="F82" s="68"/>
      <c r="G82" s="68">
        <v>65124</v>
      </c>
      <c r="H82" s="68"/>
      <c r="I82" s="68">
        <v>140320</v>
      </c>
      <c r="J82" s="68"/>
      <c r="K82" s="68">
        <v>0</v>
      </c>
      <c r="L82" s="68"/>
      <c r="M82" s="68">
        <v>34900</v>
      </c>
      <c r="N82" s="68"/>
      <c r="O82" s="68">
        <v>290124</v>
      </c>
      <c r="P82" s="68"/>
      <c r="Q82" s="68">
        <v>282690</v>
      </c>
      <c r="R82" s="103"/>
      <c r="S82" s="103"/>
    </row>
    <row r="83" spans="2:19" ht="12.75">
      <c r="B83" s="18" t="s">
        <v>209</v>
      </c>
      <c r="C83" s="68">
        <v>0</v>
      </c>
      <c r="D83" s="68"/>
      <c r="E83" s="68">
        <v>245360</v>
      </c>
      <c r="F83" s="68"/>
      <c r="G83" s="68">
        <v>350429</v>
      </c>
      <c r="H83" s="68"/>
      <c r="I83" s="68">
        <v>670124</v>
      </c>
      <c r="J83" s="68"/>
      <c r="K83" s="68">
        <v>0</v>
      </c>
      <c r="L83" s="68"/>
      <c r="M83" s="68">
        <v>93902</v>
      </c>
      <c r="N83" s="68"/>
      <c r="O83" s="68">
        <v>1359815</v>
      </c>
      <c r="P83" s="68"/>
      <c r="Q83" s="68">
        <v>1514058</v>
      </c>
      <c r="R83" s="103"/>
      <c r="S83" s="103"/>
    </row>
    <row r="84" spans="2:19" ht="12.75">
      <c r="B84" s="18" t="s">
        <v>167</v>
      </c>
      <c r="C84" s="68">
        <v>0</v>
      </c>
      <c r="D84" s="68"/>
      <c r="E84" s="68">
        <v>288000</v>
      </c>
      <c r="F84" s="68"/>
      <c r="G84" s="68">
        <f>144000*4</f>
        <v>576000</v>
      </c>
      <c r="H84" s="68"/>
      <c r="I84" s="68">
        <f>144000*6</f>
        <v>864000</v>
      </c>
      <c r="J84" s="68"/>
      <c r="K84" s="68">
        <v>0</v>
      </c>
      <c r="L84" s="68"/>
      <c r="M84" s="68">
        <v>144000</v>
      </c>
      <c r="N84" s="68"/>
      <c r="O84" s="68">
        <v>1872000</v>
      </c>
      <c r="P84" s="68"/>
      <c r="Q84" s="68">
        <v>1870500</v>
      </c>
      <c r="R84" s="103"/>
      <c r="S84" s="103"/>
    </row>
    <row r="85" spans="2:19" ht="12.75">
      <c r="B85" s="18" t="s">
        <v>162</v>
      </c>
      <c r="C85" s="68">
        <v>0</v>
      </c>
      <c r="D85" s="68"/>
      <c r="E85" s="68">
        <f>56420+83273</f>
        <v>139693</v>
      </c>
      <c r="F85" s="68"/>
      <c r="G85" s="68">
        <v>295124</v>
      </c>
      <c r="H85" s="68"/>
      <c r="I85" s="68">
        <v>840125</v>
      </c>
      <c r="J85" s="68"/>
      <c r="K85" s="68">
        <v>0</v>
      </c>
      <c r="L85" s="68"/>
      <c r="M85" s="68">
        <v>21570</v>
      </c>
      <c r="N85" s="68"/>
      <c r="O85" s="68">
        <v>1296512</v>
      </c>
      <c r="P85" s="68"/>
      <c r="Q85" s="68">
        <v>1984000</v>
      </c>
      <c r="R85" s="103"/>
      <c r="S85" s="103"/>
    </row>
    <row r="86" spans="2:19" ht="12.75">
      <c r="B86" s="18" t="s">
        <v>168</v>
      </c>
      <c r="C86" s="68">
        <v>0</v>
      </c>
      <c r="D86" s="68"/>
      <c r="E86" s="68">
        <v>10000</v>
      </c>
      <c r="F86" s="68"/>
      <c r="G86" s="68">
        <v>12000</v>
      </c>
      <c r="H86" s="68"/>
      <c r="I86" s="68">
        <v>63000</v>
      </c>
      <c r="J86" s="68"/>
      <c r="K86" s="68">
        <v>0</v>
      </c>
      <c r="L86" s="68"/>
      <c r="M86" s="68">
        <v>10000</v>
      </c>
      <c r="N86" s="68"/>
      <c r="O86" s="68">
        <v>95000</v>
      </c>
      <c r="P86" s="68"/>
      <c r="Q86" s="68">
        <v>95000</v>
      </c>
      <c r="R86" s="103"/>
      <c r="S86" s="103"/>
    </row>
    <row r="87" spans="2:19" ht="12.75">
      <c r="B87" s="18" t="s">
        <v>271</v>
      </c>
      <c r="C87" s="68">
        <v>0</v>
      </c>
      <c r="D87" s="68"/>
      <c r="E87" s="68">
        <v>52450</v>
      </c>
      <c r="F87" s="68"/>
      <c r="G87" s="68">
        <v>65125</v>
      </c>
      <c r="H87" s="68"/>
      <c r="I87" s="68">
        <v>145265</v>
      </c>
      <c r="J87" s="68"/>
      <c r="K87" s="68">
        <v>0</v>
      </c>
      <c r="L87" s="68"/>
      <c r="M87" s="68">
        <v>40399</v>
      </c>
      <c r="N87" s="68"/>
      <c r="O87" s="68">
        <v>303239</v>
      </c>
      <c r="P87" s="68"/>
      <c r="Q87" s="68">
        <v>616596</v>
      </c>
      <c r="R87" s="103"/>
      <c r="S87" s="103"/>
    </row>
    <row r="88" spans="2:19" ht="12.75">
      <c r="B88" s="18" t="s">
        <v>169</v>
      </c>
      <c r="C88" s="68">
        <v>0</v>
      </c>
      <c r="D88" s="68"/>
      <c r="E88" s="68">
        <v>45000</v>
      </c>
      <c r="F88" s="68"/>
      <c r="G88" s="68">
        <v>85000</v>
      </c>
      <c r="H88" s="68"/>
      <c r="I88" s="68">
        <v>95000</v>
      </c>
      <c r="J88" s="68"/>
      <c r="K88" s="68">
        <v>0</v>
      </c>
      <c r="L88" s="68"/>
      <c r="M88" s="68">
        <v>5000</v>
      </c>
      <c r="N88" s="68"/>
      <c r="O88" s="68">
        <v>230000</v>
      </c>
      <c r="P88" s="68"/>
      <c r="Q88" s="68">
        <v>570650</v>
      </c>
      <c r="R88" s="103"/>
      <c r="S88" s="103"/>
    </row>
    <row r="89" spans="2:19" ht="12.75">
      <c r="B89" s="18" t="s">
        <v>212</v>
      </c>
      <c r="C89" s="68">
        <v>0</v>
      </c>
      <c r="D89" s="68"/>
      <c r="E89" s="68">
        <v>65124</v>
      </c>
      <c r="F89" s="68"/>
      <c r="G89" s="68">
        <v>68125</v>
      </c>
      <c r="H89" s="68"/>
      <c r="I89" s="68">
        <v>120135</v>
      </c>
      <c r="J89" s="68"/>
      <c r="K89" s="68">
        <v>0</v>
      </c>
      <c r="L89" s="68"/>
      <c r="M89" s="68">
        <v>12723</v>
      </c>
      <c r="N89" s="68"/>
      <c r="O89" s="68">
        <v>266107</v>
      </c>
      <c r="P89" s="68"/>
      <c r="Q89" s="68">
        <v>285095</v>
      </c>
      <c r="R89" s="103"/>
      <c r="S89" s="103"/>
    </row>
    <row r="90" spans="2:19" ht="12.75">
      <c r="B90" s="18" t="s">
        <v>145</v>
      </c>
      <c r="C90" s="68">
        <v>0</v>
      </c>
      <c r="D90" s="68"/>
      <c r="E90" s="68">
        <v>13450</v>
      </c>
      <c r="F90" s="68"/>
      <c r="G90" s="68">
        <v>45236</v>
      </c>
      <c r="H90" s="68"/>
      <c r="I90" s="68">
        <v>80125</v>
      </c>
      <c r="J90" s="68"/>
      <c r="K90" s="68">
        <v>0</v>
      </c>
      <c r="L90" s="68"/>
      <c r="M90" s="68">
        <v>10140</v>
      </c>
      <c r="N90" s="68"/>
      <c r="O90" s="68">
        <v>148951</v>
      </c>
      <c r="P90" s="68"/>
      <c r="Q90" s="68">
        <v>181825</v>
      </c>
      <c r="R90" s="103"/>
      <c r="S90" s="103"/>
    </row>
    <row r="91" spans="2:19" ht="12.75">
      <c r="B91" s="18" t="s">
        <v>282</v>
      </c>
      <c r="C91" s="68">
        <v>0</v>
      </c>
      <c r="D91" s="68"/>
      <c r="E91" s="68">
        <v>12450</v>
      </c>
      <c r="F91" s="68"/>
      <c r="G91" s="68">
        <v>20500</v>
      </c>
      <c r="H91" s="68"/>
      <c r="I91" s="68">
        <v>48500</v>
      </c>
      <c r="J91" s="68"/>
      <c r="K91" s="68">
        <v>0</v>
      </c>
      <c r="L91" s="68"/>
      <c r="M91" s="68">
        <v>29650</v>
      </c>
      <c r="N91" s="68"/>
      <c r="O91" s="68">
        <v>111100</v>
      </c>
      <c r="P91" s="68"/>
      <c r="Q91" s="68">
        <v>166995</v>
      </c>
      <c r="R91" s="103"/>
      <c r="S91" s="103"/>
    </row>
    <row r="92" spans="2:19" ht="12.75">
      <c r="B92" s="18" t="s">
        <v>170</v>
      </c>
      <c r="C92" s="68">
        <v>0</v>
      </c>
      <c r="D92" s="68"/>
      <c r="E92" s="68"/>
      <c r="F92" s="68"/>
      <c r="G92" s="68"/>
      <c r="H92" s="68"/>
      <c r="I92" s="68">
        <v>2300</v>
      </c>
      <c r="J92" s="68"/>
      <c r="K92" s="68"/>
      <c r="L92" s="68"/>
      <c r="M92" s="68"/>
      <c r="N92" s="68"/>
      <c r="O92" s="68">
        <v>2300</v>
      </c>
      <c r="P92" s="68"/>
      <c r="Q92" s="68">
        <v>40100</v>
      </c>
      <c r="R92" s="103"/>
      <c r="S92" s="103"/>
    </row>
    <row r="93" spans="2:19" ht="12.75">
      <c r="B93" s="18" t="s">
        <v>171</v>
      </c>
      <c r="C93" s="68">
        <v>0</v>
      </c>
      <c r="D93" s="68"/>
      <c r="E93" s="68">
        <v>3450</v>
      </c>
      <c r="F93" s="68"/>
      <c r="G93" s="68">
        <v>15240</v>
      </c>
      <c r="H93" s="68"/>
      <c r="I93" s="68">
        <v>28480</v>
      </c>
      <c r="J93" s="68"/>
      <c r="K93" s="68">
        <v>0</v>
      </c>
      <c r="L93" s="68"/>
      <c r="M93" s="68">
        <v>4821</v>
      </c>
      <c r="N93" s="68"/>
      <c r="O93" s="68">
        <v>51991</v>
      </c>
      <c r="P93" s="68"/>
      <c r="Q93" s="68">
        <v>50741</v>
      </c>
      <c r="R93" s="103"/>
      <c r="S93" s="103"/>
    </row>
    <row r="94" spans="2:19" ht="12.75">
      <c r="B94" s="18" t="s">
        <v>172</v>
      </c>
      <c r="C94" s="68">
        <v>0</v>
      </c>
      <c r="D94" s="68"/>
      <c r="E94" s="68"/>
      <c r="F94" s="68"/>
      <c r="G94" s="68"/>
      <c r="H94" s="68"/>
      <c r="I94" s="68">
        <v>3440</v>
      </c>
      <c r="J94" s="68"/>
      <c r="K94" s="68"/>
      <c r="L94" s="68"/>
      <c r="M94" s="68"/>
      <c r="N94" s="68"/>
      <c r="O94" s="68">
        <v>3440</v>
      </c>
      <c r="P94" s="68"/>
      <c r="Q94" s="68">
        <v>18323</v>
      </c>
      <c r="R94" s="103"/>
      <c r="S94" s="103"/>
    </row>
    <row r="95" spans="2:19" ht="12.75">
      <c r="B95" s="18" t="s">
        <v>173</v>
      </c>
      <c r="C95" s="68">
        <v>0</v>
      </c>
      <c r="D95" s="68"/>
      <c r="E95" s="68"/>
      <c r="F95" s="68"/>
      <c r="G95" s="68"/>
      <c r="H95" s="68"/>
      <c r="I95" s="68">
        <v>57608</v>
      </c>
      <c r="J95" s="68"/>
      <c r="K95" s="68"/>
      <c r="L95" s="68"/>
      <c r="M95" s="68"/>
      <c r="N95" s="68"/>
      <c r="O95" s="68">
        <v>57608</v>
      </c>
      <c r="P95" s="68"/>
      <c r="Q95" s="68">
        <v>17714</v>
      </c>
      <c r="R95" s="103"/>
      <c r="S95" s="103"/>
    </row>
    <row r="96" spans="2:19" ht="12.75">
      <c r="B96" s="18" t="s">
        <v>281</v>
      </c>
      <c r="C96" s="68">
        <v>0</v>
      </c>
      <c r="D96" s="68"/>
      <c r="E96" s="68">
        <v>85124</v>
      </c>
      <c r="F96" s="68"/>
      <c r="G96" s="68">
        <v>74250</v>
      </c>
      <c r="H96" s="68"/>
      <c r="I96" s="68">
        <v>122408</v>
      </c>
      <c r="J96" s="68"/>
      <c r="K96" s="68">
        <v>0</v>
      </c>
      <c r="L96" s="68"/>
      <c r="M96" s="68">
        <v>40627</v>
      </c>
      <c r="N96" s="68"/>
      <c r="O96" s="68">
        <v>322409</v>
      </c>
      <c r="P96" s="68"/>
      <c r="Q96" s="68">
        <v>493189</v>
      </c>
      <c r="R96" s="103"/>
      <c r="S96" s="103"/>
    </row>
    <row r="97" spans="2:19" ht="12.75">
      <c r="B97" s="18" t="s">
        <v>280</v>
      </c>
      <c r="C97" s="68">
        <v>0</v>
      </c>
      <c r="D97" s="68"/>
      <c r="E97" s="68">
        <v>98125</v>
      </c>
      <c r="F97" s="68"/>
      <c r="G97" s="68">
        <v>80126</v>
      </c>
      <c r="H97" s="68"/>
      <c r="I97" s="68">
        <v>210360</v>
      </c>
      <c r="J97" s="68">
        <v>245360</v>
      </c>
      <c r="K97" s="68">
        <v>0</v>
      </c>
      <c r="L97" s="68"/>
      <c r="M97" s="68">
        <v>81565</v>
      </c>
      <c r="N97" s="68"/>
      <c r="O97" s="68">
        <v>470176</v>
      </c>
      <c r="P97" s="68"/>
      <c r="Q97" s="68">
        <v>984584</v>
      </c>
      <c r="R97" s="103"/>
      <c r="S97" s="103"/>
    </row>
    <row r="98" spans="2:19" ht="12.75">
      <c r="B98" s="18" t="s">
        <v>174</v>
      </c>
      <c r="C98" s="68">
        <v>0</v>
      </c>
      <c r="D98" s="68"/>
      <c r="E98" s="68"/>
      <c r="F98" s="68"/>
      <c r="G98" s="68"/>
      <c r="H98" s="68"/>
      <c r="I98" s="68">
        <v>18546</v>
      </c>
      <c r="J98" s="68"/>
      <c r="K98" s="68"/>
      <c r="L98" s="68"/>
      <c r="M98" s="68"/>
      <c r="N98" s="68"/>
      <c r="O98" s="68">
        <v>18546</v>
      </c>
      <c r="P98" s="68"/>
      <c r="Q98" s="68">
        <v>23422</v>
      </c>
      <c r="R98" s="103"/>
      <c r="S98" s="103"/>
    </row>
    <row r="99" spans="2:19" ht="12.75">
      <c r="B99" s="18" t="s">
        <v>175</v>
      </c>
      <c r="C99" s="68">
        <v>0</v>
      </c>
      <c r="D99" s="68"/>
      <c r="E99" s="68">
        <v>105235</v>
      </c>
      <c r="F99" s="68"/>
      <c r="G99" s="68">
        <v>152360</v>
      </c>
      <c r="H99" s="68"/>
      <c r="I99" s="68">
        <v>308125</v>
      </c>
      <c r="J99" s="68"/>
      <c r="K99" s="68">
        <v>0</v>
      </c>
      <c r="L99" s="68"/>
      <c r="M99" s="68">
        <v>99454</v>
      </c>
      <c r="N99" s="68"/>
      <c r="O99" s="68">
        <v>665174</v>
      </c>
      <c r="P99" s="68"/>
      <c r="Q99" s="68">
        <v>733600</v>
      </c>
      <c r="R99" s="103"/>
      <c r="S99" s="103"/>
    </row>
    <row r="100" spans="2:19" ht="12.75">
      <c r="B100" s="18" t="s">
        <v>176</v>
      </c>
      <c r="C100" s="68">
        <v>0</v>
      </c>
      <c r="D100" s="68"/>
      <c r="E100" s="68">
        <v>85124</v>
      </c>
      <c r="F100" s="68"/>
      <c r="G100" s="68">
        <v>110250</v>
      </c>
      <c r="H100" s="68"/>
      <c r="I100" s="68">
        <v>185124</v>
      </c>
      <c r="J100" s="68"/>
      <c r="K100" s="68">
        <v>0</v>
      </c>
      <c r="L100" s="68"/>
      <c r="M100" s="68">
        <v>33942</v>
      </c>
      <c r="N100" s="68"/>
      <c r="O100" s="68">
        <v>414440</v>
      </c>
      <c r="P100" s="68"/>
      <c r="Q100" s="68">
        <v>575241</v>
      </c>
      <c r="R100" s="103"/>
      <c r="S100" s="103"/>
    </row>
    <row r="101" spans="2:19" ht="12.75">
      <c r="B101" s="18" t="s">
        <v>177</v>
      </c>
      <c r="C101" s="68">
        <v>0</v>
      </c>
      <c r="D101" s="68"/>
      <c r="E101" s="68">
        <v>10245</v>
      </c>
      <c r="F101" s="68"/>
      <c r="G101" s="68">
        <v>20136</v>
      </c>
      <c r="H101" s="68"/>
      <c r="I101" s="68">
        <v>40250</v>
      </c>
      <c r="J101" s="68"/>
      <c r="K101" s="68">
        <v>0</v>
      </c>
      <c r="L101" s="68"/>
      <c r="M101" s="68">
        <v>10799</v>
      </c>
      <c r="N101" s="68"/>
      <c r="O101" s="68">
        <v>81430</v>
      </c>
      <c r="P101" s="68"/>
      <c r="Q101" s="68">
        <v>97240</v>
      </c>
      <c r="R101" s="103"/>
      <c r="S101" s="103"/>
    </row>
    <row r="102" spans="2:19" ht="12.75">
      <c r="B102" s="18" t="s">
        <v>178</v>
      </c>
      <c r="C102" s="68">
        <v>0</v>
      </c>
      <c r="D102" s="68"/>
      <c r="E102" s="68">
        <v>15460</v>
      </c>
      <c r="F102" s="68"/>
      <c r="G102" s="68">
        <v>35460</v>
      </c>
      <c r="H102" s="68"/>
      <c r="I102" s="68">
        <v>85125</v>
      </c>
      <c r="J102" s="68"/>
      <c r="K102" s="68">
        <v>0</v>
      </c>
      <c r="L102" s="68"/>
      <c r="M102" s="68">
        <v>6224</v>
      </c>
      <c r="N102" s="68"/>
      <c r="O102" s="68">
        <v>142269</v>
      </c>
      <c r="P102" s="68"/>
      <c r="Q102" s="68">
        <v>104408</v>
      </c>
      <c r="R102" s="103"/>
      <c r="S102" s="103"/>
    </row>
    <row r="103" spans="2:19" ht="12.75">
      <c r="B103" s="18" t="s">
        <v>213</v>
      </c>
      <c r="C103" s="68">
        <v>0</v>
      </c>
      <c r="D103" s="68"/>
      <c r="E103" s="68">
        <v>1540</v>
      </c>
      <c r="F103" s="68"/>
      <c r="G103" s="68">
        <v>2980</v>
      </c>
      <c r="H103" s="68"/>
      <c r="I103" s="68">
        <v>8750</v>
      </c>
      <c r="J103" s="68"/>
      <c r="K103" s="68">
        <v>0</v>
      </c>
      <c r="L103" s="68"/>
      <c r="M103" s="68">
        <v>588</v>
      </c>
      <c r="N103" s="68"/>
      <c r="O103" s="68">
        <v>13858</v>
      </c>
      <c r="P103" s="68"/>
      <c r="Q103" s="68">
        <v>13874</v>
      </c>
      <c r="R103" s="103"/>
      <c r="S103" s="103"/>
    </row>
    <row r="104" spans="2:19" ht="12.75">
      <c r="B104" s="18" t="s">
        <v>210</v>
      </c>
      <c r="C104" s="68">
        <v>0</v>
      </c>
      <c r="D104" s="68"/>
      <c r="E104" s="68">
        <v>12450</v>
      </c>
      <c r="F104" s="68"/>
      <c r="G104" s="68">
        <v>24150</v>
      </c>
      <c r="H104" s="68"/>
      <c r="I104" s="68">
        <v>41096</v>
      </c>
      <c r="J104" s="68"/>
      <c r="K104" s="68"/>
      <c r="L104" s="68"/>
      <c r="M104" s="68"/>
      <c r="N104" s="68"/>
      <c r="O104" s="68">
        <v>77696</v>
      </c>
      <c r="P104" s="68"/>
      <c r="Q104" s="68">
        <v>82334</v>
      </c>
      <c r="R104" s="103"/>
      <c r="S104" s="103"/>
    </row>
    <row r="105" spans="2:19" ht="12.75">
      <c r="B105" s="18" t="s">
        <v>179</v>
      </c>
      <c r="C105" s="68">
        <v>0</v>
      </c>
      <c r="D105" s="68"/>
      <c r="E105" s="68">
        <v>30125</v>
      </c>
      <c r="F105" s="68"/>
      <c r="G105" s="68">
        <v>45240</v>
      </c>
      <c r="H105" s="68"/>
      <c r="I105" s="68">
        <v>85125</v>
      </c>
      <c r="J105" s="68"/>
      <c r="K105" s="68">
        <v>0</v>
      </c>
      <c r="L105" s="68"/>
      <c r="M105" s="68">
        <v>15610</v>
      </c>
      <c r="N105" s="68"/>
      <c r="O105" s="68">
        <v>176100</v>
      </c>
      <c r="P105" s="68"/>
      <c r="Q105" s="68">
        <v>164897</v>
      </c>
      <c r="R105" s="103"/>
      <c r="S105" s="103"/>
    </row>
    <row r="106" spans="2:19" ht="12.75">
      <c r="B106" s="18" t="s">
        <v>272</v>
      </c>
      <c r="C106" s="68">
        <v>0</v>
      </c>
      <c r="D106" s="68"/>
      <c r="E106" s="68">
        <v>10850</v>
      </c>
      <c r="F106" s="68"/>
      <c r="G106" s="68">
        <v>18950</v>
      </c>
      <c r="H106" s="68"/>
      <c r="I106" s="68">
        <v>46201</v>
      </c>
      <c r="J106" s="68"/>
      <c r="K106" s="68"/>
      <c r="L106" s="68"/>
      <c r="M106" s="68"/>
      <c r="N106" s="68"/>
      <c r="O106" s="68">
        <v>76001</v>
      </c>
      <c r="P106" s="68"/>
      <c r="Q106" s="68">
        <v>85000</v>
      </c>
      <c r="R106" s="103"/>
      <c r="S106" s="103"/>
    </row>
    <row r="107" spans="2:19" ht="12.75">
      <c r="B107" s="91" t="s">
        <v>369</v>
      </c>
      <c r="C107" s="68">
        <v>0</v>
      </c>
      <c r="D107" s="68"/>
      <c r="E107" s="68"/>
      <c r="F107" s="68"/>
      <c r="G107" s="68"/>
      <c r="H107" s="68"/>
      <c r="I107" s="68"/>
      <c r="J107" s="68"/>
      <c r="K107" s="68">
        <v>250000</v>
      </c>
      <c r="L107" s="68"/>
      <c r="M107" s="68">
        <v>750000</v>
      </c>
      <c r="N107" s="68"/>
      <c r="O107" s="68">
        <v>1000000</v>
      </c>
      <c r="P107" s="68"/>
      <c r="Q107" s="68">
        <v>1000000</v>
      </c>
      <c r="R107" s="103"/>
      <c r="S107" s="103"/>
    </row>
    <row r="108" spans="2:19" ht="12.75">
      <c r="B108" s="18" t="s">
        <v>180</v>
      </c>
      <c r="C108" s="68">
        <f>'N-1'!I12+'N-1'!I14+'N-1'!I20</f>
        <v>96803</v>
      </c>
      <c r="D108" s="68"/>
      <c r="E108" s="68">
        <v>0</v>
      </c>
      <c r="F108" s="68"/>
      <c r="G108" s="68">
        <v>0</v>
      </c>
      <c r="H108" s="68"/>
      <c r="I108" s="68">
        <f>'N-1'!I34+'N-1'!I36+'N-1'!I40+1850</f>
        <v>74978</v>
      </c>
      <c r="J108" s="68"/>
      <c r="K108" s="68">
        <f>'N-1'!I45+'N-1'!I46+'N-1'!I50</f>
        <v>73962</v>
      </c>
      <c r="L108" s="68"/>
      <c r="M108" s="68">
        <f>'N-1'!I60+'N-1'!I62+'N-1'!I65</f>
        <v>22034</v>
      </c>
      <c r="N108" s="68"/>
      <c r="O108" s="68">
        <v>267777</v>
      </c>
      <c r="P108" s="68"/>
      <c r="Q108" s="68">
        <v>314064</v>
      </c>
      <c r="R108" s="103"/>
      <c r="S108" s="103"/>
    </row>
    <row r="109" spans="2:19" ht="13.5" thickBot="1">
      <c r="B109" s="8" t="s">
        <v>40</v>
      </c>
      <c r="C109" s="85">
        <f>SUM(C77:C108)</f>
        <v>96803</v>
      </c>
      <c r="D109" s="106"/>
      <c r="E109" s="85">
        <f>SUM(E77:E108)</f>
        <v>2854403</v>
      </c>
      <c r="F109" s="106"/>
      <c r="G109" s="85">
        <f>SUM(G77:G108)</f>
        <v>4972081</v>
      </c>
      <c r="H109" s="106"/>
      <c r="I109" s="85">
        <f>SUM(I77:I108)</f>
        <v>9457546</v>
      </c>
      <c r="J109" s="106"/>
      <c r="K109" s="85">
        <f>SUM(K77:K108)</f>
        <v>323962</v>
      </c>
      <c r="L109" s="106"/>
      <c r="M109" s="85">
        <f>SUM(M77:M108)</f>
        <v>2223776</v>
      </c>
      <c r="N109" s="106"/>
      <c r="O109" s="85">
        <v>19928571</v>
      </c>
      <c r="P109" s="106"/>
      <c r="Q109" s="85">
        <v>22276646</v>
      </c>
      <c r="R109" s="103"/>
      <c r="S109" s="103"/>
    </row>
    <row r="110" spans="3:17" ht="13.5" thickTop="1">
      <c r="C110" s="71"/>
      <c r="D110" s="68"/>
      <c r="E110" s="71"/>
      <c r="F110" s="68"/>
      <c r="G110" s="71"/>
      <c r="H110" s="68"/>
      <c r="I110" s="71"/>
      <c r="J110" s="68"/>
      <c r="K110" s="71"/>
      <c r="L110" s="68"/>
      <c r="M110" s="71"/>
      <c r="N110" s="68"/>
      <c r="O110" s="71"/>
      <c r="P110" s="68"/>
      <c r="Q110" s="71"/>
    </row>
    <row r="111" spans="1:17" ht="12.75">
      <c r="A111" s="39" t="s">
        <v>604</v>
      </c>
      <c r="B111" s="18" t="s">
        <v>51</v>
      </c>
      <c r="C111" s="71"/>
      <c r="D111" s="68"/>
      <c r="E111" s="71"/>
      <c r="F111" s="68"/>
      <c r="G111" s="71"/>
      <c r="H111" s="68"/>
      <c r="I111" s="71"/>
      <c r="J111" s="68"/>
      <c r="K111" s="71"/>
      <c r="L111" s="68"/>
      <c r="M111" s="71"/>
      <c r="N111" s="68"/>
      <c r="O111" s="71"/>
      <c r="P111" s="68"/>
      <c r="Q111" s="71"/>
    </row>
    <row r="112" spans="3:17" ht="12.75">
      <c r="C112" s="71"/>
      <c r="D112" s="68"/>
      <c r="E112" s="71"/>
      <c r="F112" s="68"/>
      <c r="G112" s="71"/>
      <c r="H112" s="68"/>
      <c r="I112" s="71"/>
      <c r="J112" s="68"/>
      <c r="K112" s="71"/>
      <c r="L112" s="68"/>
      <c r="M112" s="71"/>
      <c r="N112" s="68"/>
      <c r="O112" s="71"/>
      <c r="P112" s="68"/>
      <c r="Q112" s="71"/>
    </row>
    <row r="113" spans="3:17" ht="12.75">
      <c r="C113" s="71"/>
      <c r="D113" s="68"/>
      <c r="E113" s="71"/>
      <c r="F113" s="68"/>
      <c r="G113" s="71"/>
      <c r="H113" s="68"/>
      <c r="I113" s="71"/>
      <c r="J113" s="68"/>
      <c r="K113" s="71"/>
      <c r="L113" s="68"/>
      <c r="M113" s="71"/>
      <c r="N113" s="68"/>
      <c r="O113" s="71"/>
      <c r="P113" s="68"/>
      <c r="Q113" s="71"/>
    </row>
    <row r="114" spans="1:14" ht="15">
      <c r="A114" s="387"/>
      <c r="B114" s="399" t="s">
        <v>605</v>
      </c>
      <c r="C114" s="400"/>
      <c r="D114" s="398"/>
      <c r="E114" s="376">
        <v>2015</v>
      </c>
      <c r="F114" s="393"/>
      <c r="G114" s="13">
        <v>2014</v>
      </c>
      <c r="H114" s="394"/>
      <c r="I114" s="71"/>
      <c r="J114" s="68"/>
      <c r="K114" s="71"/>
      <c r="L114" s="68"/>
      <c r="M114" s="71"/>
      <c r="N114" s="68"/>
    </row>
    <row r="115" spans="1:14" ht="15">
      <c r="A115" s="388"/>
      <c r="B115" s="403" t="s">
        <v>606</v>
      </c>
      <c r="C115" s="400"/>
      <c r="D115" s="71"/>
      <c r="E115" s="390">
        <v>160000</v>
      </c>
      <c r="F115" s="71"/>
      <c r="G115" s="72">
        <v>0</v>
      </c>
      <c r="H115" s="395"/>
      <c r="I115" s="71"/>
      <c r="J115" s="68"/>
      <c r="K115" s="71"/>
      <c r="L115" s="68"/>
      <c r="M115" s="71"/>
      <c r="N115" s="68"/>
    </row>
    <row r="116" spans="1:14" ht="15">
      <c r="A116" s="388"/>
      <c r="B116" s="404" t="s">
        <v>607</v>
      </c>
      <c r="C116" s="402"/>
      <c r="D116" s="71"/>
      <c r="E116" s="390">
        <v>235000</v>
      </c>
      <c r="F116" s="71"/>
      <c r="G116" s="392">
        <v>0</v>
      </c>
      <c r="H116" s="395"/>
      <c r="I116" s="71"/>
      <c r="J116" s="68"/>
      <c r="K116" s="71"/>
      <c r="L116" s="68"/>
      <c r="M116" s="71"/>
      <c r="N116" s="68"/>
    </row>
    <row r="117" spans="1:14" ht="15">
      <c r="A117" s="388"/>
      <c r="B117" s="404" t="s">
        <v>608</v>
      </c>
      <c r="C117" s="402"/>
      <c r="D117" s="71"/>
      <c r="E117" s="390">
        <v>133656</v>
      </c>
      <c r="F117" s="71"/>
      <c r="G117" s="392">
        <v>0</v>
      </c>
      <c r="H117" s="395"/>
      <c r="I117" s="71"/>
      <c r="J117" s="68"/>
      <c r="K117" s="71"/>
      <c r="L117" s="68"/>
      <c r="M117" s="71"/>
      <c r="N117" s="68"/>
    </row>
    <row r="118" spans="1:14" ht="15">
      <c r="A118" s="388"/>
      <c r="B118" s="404" t="s">
        <v>609</v>
      </c>
      <c r="C118" s="402"/>
      <c r="D118" s="71"/>
      <c r="E118" s="390">
        <v>80000</v>
      </c>
      <c r="F118" s="71"/>
      <c r="G118" s="392">
        <v>0</v>
      </c>
      <c r="H118" s="395"/>
      <c r="I118" s="71"/>
      <c r="J118" s="68"/>
      <c r="K118" s="71"/>
      <c r="L118" s="68"/>
      <c r="M118" s="71"/>
      <c r="N118" s="68"/>
    </row>
    <row r="119" spans="1:14" ht="15">
      <c r="A119" s="388"/>
      <c r="B119" s="404" t="s">
        <v>610</v>
      </c>
      <c r="C119" s="402"/>
      <c r="D119" s="71"/>
      <c r="E119" s="390">
        <v>40498</v>
      </c>
      <c r="F119" s="71"/>
      <c r="G119" s="392">
        <v>0</v>
      </c>
      <c r="H119" s="395"/>
      <c r="I119" s="71"/>
      <c r="J119" s="68"/>
      <c r="K119" s="71"/>
      <c r="L119" s="68"/>
      <c r="M119" s="71"/>
      <c r="N119" s="68"/>
    </row>
    <row r="120" spans="1:14" ht="15">
      <c r="A120" s="388"/>
      <c r="B120" s="405" t="s">
        <v>611</v>
      </c>
      <c r="C120" s="402"/>
      <c r="D120" s="71"/>
      <c r="E120" s="390">
        <v>173430</v>
      </c>
      <c r="F120" s="71"/>
      <c r="G120" s="392">
        <v>0</v>
      </c>
      <c r="H120" s="395"/>
      <c r="I120" s="71"/>
      <c r="J120" s="68"/>
      <c r="K120" s="71"/>
      <c r="L120" s="68"/>
      <c r="M120" s="71"/>
      <c r="N120" s="68"/>
    </row>
    <row r="121" spans="1:14" ht="15">
      <c r="A121" s="388"/>
      <c r="B121" s="405" t="s">
        <v>51</v>
      </c>
      <c r="C121" s="401"/>
      <c r="D121" s="71"/>
      <c r="E121" s="390"/>
      <c r="F121" s="71"/>
      <c r="G121" s="73">
        <v>1162918</v>
      </c>
      <c r="H121" s="395"/>
      <c r="I121" s="71"/>
      <c r="J121" s="68"/>
      <c r="K121" s="71"/>
      <c r="L121" s="68"/>
      <c r="M121" s="71"/>
      <c r="N121" s="68"/>
    </row>
    <row r="122" spans="1:14" ht="15">
      <c r="A122" s="389"/>
      <c r="B122" s="397" t="s">
        <v>40</v>
      </c>
      <c r="C122" s="401"/>
      <c r="D122" s="398"/>
      <c r="E122" s="391">
        <f>SUM(E115:E120)</f>
        <v>822584</v>
      </c>
      <c r="F122" s="74"/>
      <c r="G122" s="73">
        <f>SUM(G115:G121)</f>
        <v>1162918</v>
      </c>
      <c r="H122" s="396"/>
      <c r="I122" s="71"/>
      <c r="J122" s="68"/>
      <c r="K122" s="71"/>
      <c r="L122" s="68"/>
      <c r="M122" s="71"/>
      <c r="N122" s="68"/>
    </row>
    <row r="123" spans="3:17" ht="12.75">
      <c r="C123" s="71"/>
      <c r="D123" s="68"/>
      <c r="E123" s="71"/>
      <c r="F123" s="68"/>
      <c r="G123" s="71"/>
      <c r="H123" s="68"/>
      <c r="I123" s="71"/>
      <c r="J123" s="68"/>
      <c r="K123" s="71"/>
      <c r="L123" s="68"/>
      <c r="M123" s="71"/>
      <c r="N123" s="68"/>
      <c r="O123" s="71"/>
      <c r="P123" s="68"/>
      <c r="Q123" s="71"/>
    </row>
    <row r="124" spans="1:17" ht="12.75">
      <c r="A124" s="39" t="s">
        <v>291</v>
      </c>
      <c r="B124" s="8" t="s">
        <v>586</v>
      </c>
      <c r="C124" s="68"/>
      <c r="D124" s="68"/>
      <c r="E124" s="68"/>
      <c r="F124" s="68"/>
      <c r="G124" s="68"/>
      <c r="H124" s="68"/>
      <c r="I124" s="68"/>
      <c r="J124" s="68"/>
      <c r="K124" s="68"/>
      <c r="L124" s="68"/>
      <c r="M124" s="68"/>
      <c r="N124" s="68"/>
      <c r="O124" s="109"/>
      <c r="P124" s="68"/>
      <c r="Q124" s="68"/>
    </row>
    <row r="125" spans="3:17" ht="12.75">
      <c r="C125" s="4" t="s">
        <v>298</v>
      </c>
      <c r="D125" s="4"/>
      <c r="E125" s="4" t="s">
        <v>300</v>
      </c>
      <c r="F125" s="4"/>
      <c r="G125" s="4" t="s">
        <v>301</v>
      </c>
      <c r="H125" s="4"/>
      <c r="I125" s="4" t="s">
        <v>302</v>
      </c>
      <c r="J125" s="4"/>
      <c r="K125" s="4" t="s">
        <v>303</v>
      </c>
      <c r="L125" s="4"/>
      <c r="M125" s="4" t="s">
        <v>304</v>
      </c>
      <c r="N125" s="4"/>
      <c r="O125" s="4">
        <v>2015</v>
      </c>
      <c r="P125" s="4"/>
      <c r="Q125" s="4">
        <v>2014</v>
      </c>
    </row>
    <row r="126" spans="2:19" ht="12.75">
      <c r="B126" s="18" t="s">
        <v>181</v>
      </c>
      <c r="C126" s="68">
        <v>0</v>
      </c>
      <c r="D126" s="68"/>
      <c r="E126" s="68">
        <v>15780</v>
      </c>
      <c r="F126" s="68"/>
      <c r="G126" s="68">
        <f>24598+1150+1150</f>
        <v>26898</v>
      </c>
      <c r="H126" s="68"/>
      <c r="I126" s="68">
        <v>35428</v>
      </c>
      <c r="J126" s="68"/>
      <c r="K126" s="68"/>
      <c r="L126" s="68"/>
      <c r="M126" s="68">
        <v>11410</v>
      </c>
      <c r="N126" s="68"/>
      <c r="O126" s="68">
        <f>87216+1150+1150</f>
        <v>89516</v>
      </c>
      <c r="P126" s="68"/>
      <c r="Q126" s="68">
        <v>88596</v>
      </c>
      <c r="R126" s="103"/>
      <c r="S126" s="103"/>
    </row>
    <row r="127" spans="2:17" ht="13.5" thickBot="1">
      <c r="B127" s="8" t="s">
        <v>40</v>
      </c>
      <c r="C127" s="85">
        <f>SUM(C126:C126)</f>
        <v>0</v>
      </c>
      <c r="D127" s="106"/>
      <c r="E127" s="85">
        <f>SUM(E126:E126)</f>
        <v>15780</v>
      </c>
      <c r="F127" s="85">
        <f aca="true" t="shared" si="12" ref="F127:O127">SUM(F126:F126)</f>
        <v>0</v>
      </c>
      <c r="G127" s="85">
        <f t="shared" si="12"/>
        <v>26898</v>
      </c>
      <c r="H127" s="85">
        <f t="shared" si="12"/>
        <v>0</v>
      </c>
      <c r="I127" s="85">
        <f t="shared" si="12"/>
        <v>35428</v>
      </c>
      <c r="J127" s="85">
        <f t="shared" si="12"/>
        <v>0</v>
      </c>
      <c r="K127" s="85">
        <f t="shared" si="12"/>
        <v>0</v>
      </c>
      <c r="L127" s="85">
        <f t="shared" si="12"/>
        <v>0</v>
      </c>
      <c r="M127" s="85">
        <f t="shared" si="12"/>
        <v>11410</v>
      </c>
      <c r="N127" s="85">
        <f t="shared" si="12"/>
        <v>0</v>
      </c>
      <c r="O127" s="85">
        <f t="shared" si="12"/>
        <v>89516</v>
      </c>
      <c r="P127" s="106"/>
      <c r="Q127" s="85">
        <v>88596</v>
      </c>
    </row>
    <row r="128" ht="13.5" thickTop="1"/>
    <row r="129" spans="1:9" ht="12.75">
      <c r="A129" s="39" t="s">
        <v>292</v>
      </c>
      <c r="B129" s="1" t="s">
        <v>535</v>
      </c>
      <c r="C129" s="7"/>
      <c r="D129" s="7"/>
      <c r="E129" s="7"/>
      <c r="F129" s="7"/>
      <c r="G129" s="7"/>
      <c r="H129" s="7"/>
      <c r="I129" s="7"/>
    </row>
    <row r="130" spans="2:9" ht="12.75">
      <c r="B130" s="7"/>
      <c r="C130" s="7"/>
      <c r="D130" s="7"/>
      <c r="E130" s="7"/>
      <c r="F130" s="7"/>
      <c r="G130" s="4">
        <v>2015</v>
      </c>
      <c r="H130" s="4"/>
      <c r="I130" s="4">
        <v>2014</v>
      </c>
    </row>
    <row r="131" spans="2:9" ht="12.75">
      <c r="B131" s="7" t="s">
        <v>218</v>
      </c>
      <c r="C131" s="7"/>
      <c r="D131" s="7"/>
      <c r="E131" s="7"/>
      <c r="F131" s="7"/>
      <c r="G131" s="7"/>
      <c r="H131" s="7"/>
      <c r="I131" s="7"/>
    </row>
    <row r="132" spans="2:9" ht="12.75">
      <c r="B132" s="7" t="s">
        <v>219</v>
      </c>
      <c r="C132" s="7"/>
      <c r="D132" s="7"/>
      <c r="E132" s="7"/>
      <c r="F132" s="7"/>
      <c r="G132" s="16">
        <f>PL!G31</f>
        <v>-8775265.47999999</v>
      </c>
      <c r="H132" s="16"/>
      <c r="I132" s="16">
        <v>-6391695</v>
      </c>
    </row>
    <row r="133" spans="2:9" ht="12.75">
      <c r="B133" s="7"/>
      <c r="C133" s="7"/>
      <c r="D133" s="7"/>
      <c r="E133" s="7"/>
      <c r="F133" s="7"/>
      <c r="G133" s="16"/>
      <c r="H133" s="16"/>
      <c r="I133" s="16"/>
    </row>
    <row r="134" spans="2:9" ht="12.75">
      <c r="B134" s="7" t="s">
        <v>220</v>
      </c>
      <c r="C134" s="7"/>
      <c r="D134" s="7"/>
      <c r="E134" s="7"/>
      <c r="F134" s="7"/>
      <c r="G134" s="16">
        <v>4850000</v>
      </c>
      <c r="H134" s="16"/>
      <c r="I134" s="16">
        <v>4850000</v>
      </c>
    </row>
    <row r="135" spans="2:9" ht="12.75">
      <c r="B135" s="7"/>
      <c r="C135" s="7"/>
      <c r="D135" s="7"/>
      <c r="E135" s="7"/>
      <c r="F135" s="7"/>
      <c r="G135" s="16"/>
      <c r="H135" s="16"/>
      <c r="I135" s="16"/>
    </row>
    <row r="136" spans="2:9" ht="12.75">
      <c r="B136" s="1" t="s">
        <v>403</v>
      </c>
      <c r="C136" s="1"/>
      <c r="D136" s="1"/>
      <c r="E136" s="1"/>
      <c r="F136" s="1"/>
      <c r="G136" s="77">
        <f>G132/G134</f>
        <v>-1.8093330886597916</v>
      </c>
      <c r="H136" s="77" t="e">
        <f>H132/H134</f>
        <v>#DIV/0!</v>
      </c>
      <c r="I136" s="77">
        <f>I132/I134</f>
        <v>-1.3178752577319588</v>
      </c>
    </row>
    <row r="137" spans="2:9" ht="12.75">
      <c r="B137" s="7"/>
      <c r="C137" s="7"/>
      <c r="D137" s="7"/>
      <c r="E137" s="7"/>
      <c r="F137" s="7"/>
      <c r="G137" s="7"/>
      <c r="H137" s="7"/>
      <c r="I137" s="7"/>
    </row>
    <row r="138" spans="1:5" ht="12.75">
      <c r="A138" s="39" t="s">
        <v>293</v>
      </c>
      <c r="B138" s="133" t="s">
        <v>536</v>
      </c>
      <c r="C138" s="133"/>
      <c r="D138" s="135"/>
      <c r="E138" s="133"/>
    </row>
    <row r="139" spans="2:5" ht="12.75">
      <c r="B139" s="133"/>
      <c r="C139" s="133"/>
      <c r="D139" s="135"/>
      <c r="E139" s="133"/>
    </row>
    <row r="140" spans="2:5" ht="12.75">
      <c r="B140" s="136" t="s">
        <v>359</v>
      </c>
      <c r="C140" s="136"/>
      <c r="D140" s="47"/>
      <c r="E140" s="136"/>
    </row>
    <row r="141" spans="2:5" ht="12.75">
      <c r="B141" s="136"/>
      <c r="C141" s="136"/>
      <c r="D141" s="47"/>
      <c r="E141" s="136"/>
    </row>
    <row r="142" spans="2:9" ht="12.75">
      <c r="B142" s="136" t="s">
        <v>360</v>
      </c>
      <c r="G142" s="137">
        <f>'BS'!G19</f>
        <v>-255492313.48000002</v>
      </c>
      <c r="H142" s="138"/>
      <c r="I142" s="137">
        <v>-246717048</v>
      </c>
    </row>
    <row r="143" spans="2:9" ht="12.75">
      <c r="B143" s="136"/>
      <c r="G143" s="137"/>
      <c r="H143" s="138"/>
      <c r="I143" s="137"/>
    </row>
    <row r="144" spans="2:9" ht="12.75">
      <c r="B144" s="136" t="s">
        <v>361</v>
      </c>
      <c r="G144" s="16">
        <v>4850000</v>
      </c>
      <c r="H144" s="16"/>
      <c r="I144" s="16">
        <v>4850000</v>
      </c>
    </row>
    <row r="145" spans="2:9" ht="12.75">
      <c r="B145" s="136"/>
      <c r="G145" s="139"/>
      <c r="H145" s="140"/>
      <c r="I145" s="139"/>
    </row>
    <row r="146" spans="2:9" ht="13.5" thickBot="1">
      <c r="B146" s="133" t="s">
        <v>362</v>
      </c>
      <c r="G146" s="141">
        <f>G142/G144</f>
        <v>-52.67882752164949</v>
      </c>
      <c r="H146" s="142"/>
      <c r="I146" s="141">
        <v>-50.86949443298969</v>
      </c>
    </row>
    <row r="147" spans="2:9" ht="13.5" thickTop="1">
      <c r="B147" s="133"/>
      <c r="G147" s="142"/>
      <c r="H147" s="142"/>
      <c r="I147" s="142"/>
    </row>
    <row r="149" spans="1:5" ht="12.75">
      <c r="A149" s="39" t="s">
        <v>506</v>
      </c>
      <c r="B149" s="133" t="s">
        <v>537</v>
      </c>
      <c r="C149"/>
      <c r="D149" s="4"/>
      <c r="E149" s="4"/>
    </row>
    <row r="150" spans="1:9" ht="12.75">
      <c r="A150" s="107"/>
      <c r="B150" s="1"/>
      <c r="C150"/>
      <c r="D150" s="4"/>
      <c r="E150" s="4"/>
      <c r="G150" s="4">
        <v>2015</v>
      </c>
      <c r="H150" s="4"/>
      <c r="I150" s="4">
        <v>2014</v>
      </c>
    </row>
    <row r="151" spans="1:5" ht="12.75">
      <c r="A151"/>
      <c r="B151" t="s">
        <v>287</v>
      </c>
      <c r="C151"/>
      <c r="D151"/>
      <c r="E151"/>
    </row>
    <row r="152" spans="1:5" ht="8.25" customHeight="1">
      <c r="A152"/>
      <c r="B152"/>
      <c r="C152"/>
      <c r="D152"/>
      <c r="E152"/>
    </row>
    <row r="153" spans="1:9" ht="12.75">
      <c r="A153"/>
      <c r="B153" s="18" t="s">
        <v>286</v>
      </c>
      <c r="D153" s="5"/>
      <c r="E153" s="5"/>
      <c r="G153" s="68">
        <f>'CF'!H12</f>
        <v>12444685</v>
      </c>
      <c r="I153" s="68">
        <v>7325121</v>
      </c>
    </row>
    <row r="154" spans="1:5" ht="9" customHeight="1">
      <c r="A154"/>
      <c r="D154" s="5"/>
      <c r="E154" s="5"/>
    </row>
    <row r="155" spans="1:9" ht="12.75">
      <c r="A155"/>
      <c r="B155" s="7" t="s">
        <v>220</v>
      </c>
      <c r="C155" s="7"/>
      <c r="D155" s="7"/>
      <c r="E155" s="7"/>
      <c r="F155" s="7"/>
      <c r="G155" s="16">
        <v>4850000</v>
      </c>
      <c r="H155" s="16"/>
      <c r="I155" s="16">
        <v>4850000</v>
      </c>
    </row>
    <row r="156" spans="1:5" ht="8.25" customHeight="1">
      <c r="A156"/>
      <c r="B156"/>
      <c r="D156"/>
      <c r="E156"/>
    </row>
    <row r="157" spans="1:9" ht="12.75">
      <c r="A157"/>
      <c r="B157" s="1" t="s">
        <v>284</v>
      </c>
      <c r="D157" s="77"/>
      <c r="E157" s="77"/>
      <c r="G157" s="108">
        <f>G153/G155</f>
        <v>2.5659144329896906</v>
      </c>
      <c r="I157" s="108">
        <v>1.5103342268041238</v>
      </c>
    </row>
  </sheetData>
  <sheetProtection/>
  <mergeCells count="3">
    <mergeCell ref="K2:M2"/>
    <mergeCell ref="O2:Q2"/>
    <mergeCell ref="B10:Q10"/>
  </mergeCells>
  <printOptions horizontalCentered="1"/>
  <pageMargins left="1" right="0.5" top="1" bottom="0.75" header="0.5" footer="0.5"/>
  <pageSetup firstPageNumber="25" useFirstPageNumber="1" horizontalDpi="600" verticalDpi="600" orientation="landscape" paperSize="9" scale="75" r:id="rId1"/>
  <headerFooter alignWithMargins="0">
    <oddHeader>&amp;RHAQUE SHAH ALAM MANSUR &amp;&amp; CO.
Chartered Accountants</oddHeader>
    <oddFooter>&amp;C&amp;P</oddFooter>
  </headerFooter>
</worksheet>
</file>

<file path=xl/worksheets/sheet12.xml><?xml version="1.0" encoding="utf-8"?>
<worksheet xmlns="http://schemas.openxmlformats.org/spreadsheetml/2006/main" xmlns:r="http://schemas.openxmlformats.org/officeDocument/2006/relationships">
  <dimension ref="A1:F42"/>
  <sheetViews>
    <sheetView zoomScalePageLayoutView="0" workbookViewId="0" topLeftCell="A1">
      <selection activeCell="E11" sqref="E11"/>
    </sheetView>
  </sheetViews>
  <sheetFormatPr defaultColWidth="8.8515625" defaultRowHeight="12.75"/>
  <cols>
    <col min="1" max="1" width="4.00390625" style="165" customWidth="1"/>
    <col min="2" max="2" width="25.140625" style="153" customWidth="1"/>
    <col min="3" max="3" width="16.140625" style="153" customWidth="1"/>
    <col min="4" max="4" width="13.28125" style="153" customWidth="1"/>
    <col min="5" max="5" width="15.28125" style="153" customWidth="1"/>
    <col min="6" max="6" width="14.140625" style="153" customWidth="1"/>
    <col min="7" max="16384" width="8.8515625" style="153" customWidth="1"/>
  </cols>
  <sheetData>
    <row r="1" spans="1:6" ht="14.25">
      <c r="A1" s="150" t="s">
        <v>507</v>
      </c>
      <c r="B1" s="151" t="s">
        <v>405</v>
      </c>
      <c r="C1" s="152"/>
      <c r="D1" s="152"/>
      <c r="E1" s="152"/>
      <c r="F1" s="152"/>
    </row>
    <row r="2" spans="1:6" ht="14.25">
      <c r="A2" s="154"/>
      <c r="B2" s="151"/>
      <c r="C2" s="152"/>
      <c r="D2" s="152"/>
      <c r="E2" s="152"/>
      <c r="F2" s="152"/>
    </row>
    <row r="3" spans="1:6" ht="14.25">
      <c r="A3" s="154" t="s">
        <v>406</v>
      </c>
      <c r="B3" s="152" t="s">
        <v>407</v>
      </c>
      <c r="C3" s="152"/>
      <c r="D3" s="152"/>
      <c r="E3" s="152"/>
      <c r="F3" s="152"/>
    </row>
    <row r="4" spans="1:6" ht="14.25">
      <c r="A4" s="154"/>
      <c r="B4" s="152"/>
      <c r="C4" s="152"/>
      <c r="D4" s="152"/>
      <c r="E4" s="152"/>
      <c r="F4" s="152"/>
    </row>
    <row r="5" spans="1:6" ht="14.25">
      <c r="A5" s="154"/>
      <c r="B5" s="152" t="s">
        <v>532</v>
      </c>
      <c r="C5" s="152"/>
      <c r="D5" s="152"/>
      <c r="E5" s="152"/>
      <c r="F5" s="152"/>
    </row>
    <row r="6" spans="1:6" ht="14.25">
      <c r="A6" s="154"/>
      <c r="B6" s="152"/>
      <c r="C6" s="152"/>
      <c r="D6" s="152"/>
      <c r="E6" s="152"/>
      <c r="F6" s="152"/>
    </row>
    <row r="7" spans="1:6" ht="14.25">
      <c r="A7" s="154"/>
      <c r="B7" s="423" t="s">
        <v>408</v>
      </c>
      <c r="C7" s="423" t="s">
        <v>409</v>
      </c>
      <c r="D7" s="423"/>
      <c r="E7" s="423" t="s">
        <v>410</v>
      </c>
      <c r="F7" s="424" t="s">
        <v>411</v>
      </c>
    </row>
    <row r="8" spans="1:6" ht="14.25">
      <c r="A8" s="154"/>
      <c r="B8" s="423"/>
      <c r="C8" s="155" t="s">
        <v>412</v>
      </c>
      <c r="D8" s="155" t="s">
        <v>119</v>
      </c>
      <c r="E8" s="423"/>
      <c r="F8" s="424"/>
    </row>
    <row r="9" spans="1:6" ht="14.25">
      <c r="A9" s="154"/>
      <c r="B9" s="156" t="s">
        <v>413</v>
      </c>
      <c r="C9" s="157">
        <v>0</v>
      </c>
      <c r="D9" s="157">
        <v>0</v>
      </c>
      <c r="E9" s="157">
        <v>0</v>
      </c>
      <c r="F9" s="157">
        <f>SUM(C9:E9)</f>
        <v>0</v>
      </c>
    </row>
    <row r="10" spans="1:6" ht="14.25">
      <c r="A10" s="154"/>
      <c r="B10" s="156" t="s">
        <v>414</v>
      </c>
      <c r="C10" s="158">
        <v>28</v>
      </c>
      <c r="D10" s="158">
        <v>27</v>
      </c>
      <c r="E10" s="158">
        <v>114</v>
      </c>
      <c r="F10" s="158">
        <f>SUM(C10:E10)</f>
        <v>169</v>
      </c>
    </row>
    <row r="11" spans="1:6" ht="15" thickBot="1">
      <c r="A11" s="154"/>
      <c r="B11" s="159" t="s">
        <v>40</v>
      </c>
      <c r="C11" s="160">
        <f>SUM(C9:C10)</f>
        <v>28</v>
      </c>
      <c r="D11" s="160">
        <f>SUM(D9:D10)</f>
        <v>27</v>
      </c>
      <c r="E11" s="160">
        <f>SUM(E9:E10)</f>
        <v>114</v>
      </c>
      <c r="F11" s="160">
        <f>SUM(F9:F10)</f>
        <v>169</v>
      </c>
    </row>
    <row r="12" spans="1:6" ht="15" thickTop="1">
      <c r="A12" s="154"/>
      <c r="B12" s="152"/>
      <c r="C12" s="152"/>
      <c r="D12" s="152"/>
      <c r="E12" s="152"/>
      <c r="F12" s="152"/>
    </row>
    <row r="13" spans="1:6" ht="14.25">
      <c r="A13" s="154"/>
      <c r="B13" s="152"/>
      <c r="C13" s="152"/>
      <c r="D13" s="152"/>
      <c r="E13" s="152"/>
      <c r="F13" s="152"/>
    </row>
    <row r="14" spans="1:6" ht="14.25">
      <c r="A14" s="154" t="s">
        <v>415</v>
      </c>
      <c r="B14" s="151" t="s">
        <v>416</v>
      </c>
      <c r="C14" s="152"/>
      <c r="D14" s="152"/>
      <c r="E14" s="152"/>
      <c r="F14" s="152"/>
    </row>
    <row r="15" spans="1:6" ht="14.25">
      <c r="A15" s="154"/>
      <c r="B15" s="152"/>
      <c r="C15" s="152"/>
      <c r="D15" s="152"/>
      <c r="E15" s="152"/>
      <c r="F15" s="152"/>
    </row>
    <row r="16" spans="1:6" ht="14.25">
      <c r="A16" s="154"/>
      <c r="B16" s="159" t="s">
        <v>417</v>
      </c>
      <c r="C16" s="159" t="s">
        <v>418</v>
      </c>
      <c r="D16" s="159" t="s">
        <v>419</v>
      </c>
      <c r="E16" s="159" t="s">
        <v>559</v>
      </c>
      <c r="F16" s="159" t="s">
        <v>420</v>
      </c>
    </row>
    <row r="17" spans="1:6" ht="14.25">
      <c r="A17" s="154"/>
      <c r="B17" s="161" t="s">
        <v>331</v>
      </c>
      <c r="C17" s="162" t="s">
        <v>283</v>
      </c>
      <c r="D17" s="157">
        <v>0</v>
      </c>
      <c r="E17" s="157">
        <v>0</v>
      </c>
      <c r="F17" s="157">
        <f aca="true" t="shared" si="0" ref="F17:F24">SUM(D17:E17)</f>
        <v>0</v>
      </c>
    </row>
    <row r="18" spans="1:6" ht="14.25">
      <c r="A18" s="154"/>
      <c r="B18" s="161" t="s">
        <v>332</v>
      </c>
      <c r="C18" s="162" t="s">
        <v>241</v>
      </c>
      <c r="D18" s="157">
        <v>0</v>
      </c>
      <c r="E18" s="157">
        <v>0</v>
      </c>
      <c r="F18" s="157">
        <f t="shared" si="0"/>
        <v>0</v>
      </c>
    </row>
    <row r="19" spans="1:6" ht="14.25">
      <c r="A19" s="154"/>
      <c r="B19" s="161" t="s">
        <v>488</v>
      </c>
      <c r="C19" s="162" t="s">
        <v>241</v>
      </c>
      <c r="D19" s="157">
        <v>0</v>
      </c>
      <c r="E19" s="157">
        <v>0</v>
      </c>
      <c r="F19" s="157">
        <f t="shared" si="0"/>
        <v>0</v>
      </c>
    </row>
    <row r="20" spans="1:6" ht="14.25">
      <c r="A20" s="154"/>
      <c r="B20" s="161" t="s">
        <v>489</v>
      </c>
      <c r="C20" s="162" t="s">
        <v>241</v>
      </c>
      <c r="D20" s="157">
        <v>0</v>
      </c>
      <c r="E20" s="157">
        <v>0</v>
      </c>
      <c r="F20" s="157">
        <f t="shared" si="0"/>
        <v>0</v>
      </c>
    </row>
    <row r="21" spans="1:6" ht="14.25">
      <c r="A21" s="154"/>
      <c r="B21" s="161" t="s">
        <v>490</v>
      </c>
      <c r="C21" s="162" t="s">
        <v>241</v>
      </c>
      <c r="D21" s="157">
        <v>0</v>
      </c>
      <c r="E21" s="157">
        <v>0</v>
      </c>
      <c r="F21" s="157">
        <f t="shared" si="0"/>
        <v>0</v>
      </c>
    </row>
    <row r="22" spans="1:6" ht="14.25">
      <c r="A22" s="154"/>
      <c r="B22" s="161" t="s">
        <v>491</v>
      </c>
      <c r="C22" s="162" t="s">
        <v>241</v>
      </c>
      <c r="D22" s="157">
        <v>0</v>
      </c>
      <c r="E22" s="157">
        <v>0</v>
      </c>
      <c r="F22" s="157">
        <f t="shared" si="0"/>
        <v>0</v>
      </c>
    </row>
    <row r="23" spans="1:6" ht="14.25">
      <c r="A23" s="154"/>
      <c r="B23" s="161" t="s">
        <v>492</v>
      </c>
      <c r="C23" s="162" t="s">
        <v>241</v>
      </c>
      <c r="D23" s="157">
        <v>0</v>
      </c>
      <c r="E23" s="157">
        <v>0</v>
      </c>
      <c r="F23" s="157">
        <f t="shared" si="0"/>
        <v>0</v>
      </c>
    </row>
    <row r="24" spans="1:6" ht="14.25">
      <c r="A24" s="154"/>
      <c r="B24" s="161" t="s">
        <v>493</v>
      </c>
      <c r="C24" s="162" t="s">
        <v>241</v>
      </c>
      <c r="D24" s="157">
        <v>0</v>
      </c>
      <c r="E24" s="157">
        <v>0</v>
      </c>
      <c r="F24" s="157">
        <f t="shared" si="0"/>
        <v>0</v>
      </c>
    </row>
    <row r="25" spans="1:6" ht="15" thickBot="1">
      <c r="A25" s="154"/>
      <c r="B25" s="159" t="s">
        <v>40</v>
      </c>
      <c r="C25" s="163"/>
      <c r="D25" s="164">
        <f>SUM(D17:D24)</f>
        <v>0</v>
      </c>
      <c r="E25" s="164">
        <f>SUM(E17:E24)</f>
        <v>0</v>
      </c>
      <c r="F25" s="164">
        <f>SUM(F17:F24)</f>
        <v>0</v>
      </c>
    </row>
    <row r="26" spans="1:6" ht="15" thickTop="1">
      <c r="A26" s="154"/>
      <c r="B26" s="152"/>
      <c r="C26" s="152"/>
      <c r="D26" s="152"/>
      <c r="E26" s="152"/>
      <c r="F26" s="152"/>
    </row>
    <row r="27" spans="1:6" ht="14.25">
      <c r="A27" s="154"/>
      <c r="B27" s="152" t="s">
        <v>533</v>
      </c>
      <c r="C27" s="152"/>
      <c r="D27" s="152"/>
      <c r="E27" s="152"/>
      <c r="F27" s="152"/>
    </row>
    <row r="28" spans="1:6" ht="27.75" customHeight="1">
      <c r="A28" s="151"/>
      <c r="B28" s="422" t="s">
        <v>515</v>
      </c>
      <c r="C28" s="422"/>
      <c r="D28" s="422"/>
      <c r="E28" s="422"/>
      <c r="F28" s="422"/>
    </row>
    <row r="29" spans="1:6" ht="14.25">
      <c r="A29" s="151"/>
      <c r="B29" s="152" t="s">
        <v>421</v>
      </c>
      <c r="C29" s="152"/>
      <c r="D29" s="152"/>
      <c r="E29" s="152"/>
      <c r="F29" s="152"/>
    </row>
    <row r="30" spans="1:6" ht="12.75" customHeight="1">
      <c r="A30" s="151"/>
      <c r="B30" s="152" t="s">
        <v>422</v>
      </c>
      <c r="C30" s="152"/>
      <c r="D30" s="152"/>
      <c r="E30" s="152"/>
      <c r="F30" s="152"/>
    </row>
    <row r="31" spans="1:6" ht="25.5" customHeight="1">
      <c r="A31" s="151"/>
      <c r="B31" s="422" t="s">
        <v>423</v>
      </c>
      <c r="C31" s="422"/>
      <c r="D31" s="422"/>
      <c r="E31" s="422"/>
      <c r="F31" s="422"/>
    </row>
    <row r="32" spans="1:6" ht="27" customHeight="1">
      <c r="A32" s="151"/>
      <c r="B32" s="422" t="s">
        <v>424</v>
      </c>
      <c r="C32" s="422"/>
      <c r="D32" s="422"/>
      <c r="E32" s="422"/>
      <c r="F32" s="422"/>
    </row>
    <row r="33" spans="1:6" ht="14.25">
      <c r="A33" s="151"/>
      <c r="B33" s="152" t="s">
        <v>425</v>
      </c>
      <c r="C33" s="152"/>
      <c r="D33" s="152"/>
      <c r="E33" s="152"/>
      <c r="F33" s="152"/>
    </row>
    <row r="34" spans="1:6" ht="14.25">
      <c r="A34" s="151"/>
      <c r="B34" s="152" t="s">
        <v>426</v>
      </c>
      <c r="C34" s="152"/>
      <c r="D34" s="152"/>
      <c r="E34" s="152"/>
      <c r="F34" s="152"/>
    </row>
    <row r="35" spans="1:6" ht="14.25">
      <c r="A35" s="151"/>
      <c r="B35" s="152" t="s">
        <v>427</v>
      </c>
      <c r="C35" s="152"/>
      <c r="D35" s="152"/>
      <c r="E35" s="152"/>
      <c r="F35" s="152"/>
    </row>
    <row r="36" spans="1:6" ht="14.25">
      <c r="A36" s="151"/>
      <c r="B36" s="152" t="s">
        <v>428</v>
      </c>
      <c r="C36" s="152"/>
      <c r="D36" s="152"/>
      <c r="E36" s="152"/>
      <c r="F36" s="152"/>
    </row>
    <row r="37" spans="1:6" ht="14.25">
      <c r="A37" s="151"/>
      <c r="B37" s="152" t="s">
        <v>429</v>
      </c>
      <c r="C37" s="152"/>
      <c r="D37" s="152"/>
      <c r="E37" s="152"/>
      <c r="F37" s="152"/>
    </row>
    <row r="38" spans="1:6" ht="14.25">
      <c r="A38" s="151"/>
      <c r="B38" s="152" t="s">
        <v>516</v>
      </c>
      <c r="C38" s="152"/>
      <c r="D38" s="152"/>
      <c r="E38" s="152"/>
      <c r="F38" s="152"/>
    </row>
    <row r="39" spans="1:6" ht="14.25">
      <c r="A39" s="151"/>
      <c r="B39" s="152" t="s">
        <v>430</v>
      </c>
      <c r="C39" s="152"/>
      <c r="D39" s="152"/>
      <c r="E39" s="152"/>
      <c r="F39" s="152"/>
    </row>
    <row r="40" spans="1:6" ht="14.25">
      <c r="A40" s="151"/>
      <c r="B40" s="152" t="s">
        <v>431</v>
      </c>
      <c r="C40" s="152"/>
      <c r="D40" s="152"/>
      <c r="E40" s="152"/>
      <c r="F40" s="152"/>
    </row>
    <row r="41" spans="1:6" ht="14.25">
      <c r="A41" s="151"/>
      <c r="B41" s="152"/>
      <c r="C41" s="152"/>
      <c r="D41" s="152"/>
      <c r="E41" s="152"/>
      <c r="F41" s="152"/>
    </row>
    <row r="42" spans="1:6" ht="14.25">
      <c r="A42" s="151"/>
      <c r="B42" s="152"/>
      <c r="C42" s="152"/>
      <c r="D42" s="152"/>
      <c r="E42" s="152"/>
      <c r="F42" s="152"/>
    </row>
  </sheetData>
  <sheetProtection/>
  <mergeCells count="7">
    <mergeCell ref="B31:F31"/>
    <mergeCell ref="B32:F32"/>
    <mergeCell ref="B28:F28"/>
    <mergeCell ref="B7:B8"/>
    <mergeCell ref="C7:D7"/>
    <mergeCell ref="E7:E8"/>
    <mergeCell ref="F7:F8"/>
  </mergeCells>
  <printOptions/>
  <pageMargins left="1" right="0.75" top="1" bottom="1" header="0.5" footer="0.5"/>
  <pageSetup firstPageNumber="29" useFirstPageNumber="1" horizontalDpi="600" verticalDpi="600" orientation="portrait" paperSize="9" scale="95" r:id="rId1"/>
  <headerFooter>
    <oddHeader>&amp;RHAQUE SHAH ALAM MANSUR &amp;&amp; CO.
Chartered Accountants</oddHeader>
    <oddFooter>&amp;C29</oddFooter>
  </headerFooter>
</worksheet>
</file>

<file path=xl/worksheets/sheet13.xml><?xml version="1.0" encoding="utf-8"?>
<worksheet xmlns="http://schemas.openxmlformats.org/spreadsheetml/2006/main" xmlns:r="http://schemas.openxmlformats.org/officeDocument/2006/relationships">
  <dimension ref="A1:M28"/>
  <sheetViews>
    <sheetView zoomScalePageLayoutView="0" workbookViewId="0" topLeftCell="A1">
      <selection activeCell="L15" sqref="L15:M16"/>
    </sheetView>
  </sheetViews>
  <sheetFormatPr defaultColWidth="8.8515625" defaultRowHeight="12.75"/>
  <cols>
    <col min="1" max="1" width="3.7109375" style="154" customWidth="1"/>
    <col min="2" max="2" width="17.140625" style="152" customWidth="1"/>
    <col min="3" max="3" width="12.00390625" style="152" customWidth="1"/>
    <col min="4" max="5" width="15.28125" style="152" customWidth="1"/>
    <col min="6" max="6" width="16.8515625" style="152" customWidth="1"/>
    <col min="7" max="7" width="17.140625" style="152" customWidth="1"/>
    <col min="8" max="9" width="8.8515625" style="152" customWidth="1"/>
    <col min="10" max="10" width="9.421875" style="152" bestFit="1" customWidth="1"/>
    <col min="11" max="11" width="8.8515625" style="152" customWidth="1"/>
    <col min="12" max="12" width="18.28125" style="152" customWidth="1"/>
    <col min="13" max="13" width="12.28125" style="152" bestFit="1" customWidth="1"/>
    <col min="14" max="16384" width="8.8515625" style="152" customWidth="1"/>
  </cols>
  <sheetData>
    <row r="1" spans="1:2" ht="12.75">
      <c r="A1" s="154" t="s">
        <v>432</v>
      </c>
      <c r="B1" s="151" t="s">
        <v>433</v>
      </c>
    </row>
    <row r="3" ht="12.75">
      <c r="B3" s="152" t="s">
        <v>434</v>
      </c>
    </row>
    <row r="5" spans="2:7" ht="27" customHeight="1">
      <c r="B5" s="423" t="s">
        <v>31</v>
      </c>
      <c r="C5" s="423"/>
      <c r="D5" s="166" t="s">
        <v>435</v>
      </c>
      <c r="E5" s="166" t="s">
        <v>549</v>
      </c>
      <c r="F5" s="166" t="s">
        <v>436</v>
      </c>
      <c r="G5" s="166" t="s">
        <v>437</v>
      </c>
    </row>
    <row r="6" spans="2:7" ht="12.75">
      <c r="B6" s="428" t="s">
        <v>494</v>
      </c>
      <c r="C6" s="428"/>
      <c r="D6" s="167">
        <v>11820</v>
      </c>
      <c r="E6" s="168">
        <v>7000</v>
      </c>
      <c r="F6" s="168">
        <v>1735</v>
      </c>
      <c r="G6" s="178">
        <f>F6/E6</f>
        <v>0.24785714285714286</v>
      </c>
    </row>
    <row r="9" spans="1:12" ht="12.75">
      <c r="A9" s="154" t="s">
        <v>438</v>
      </c>
      <c r="B9" s="151" t="s">
        <v>439</v>
      </c>
      <c r="J9" s="169"/>
      <c r="K9" s="170"/>
      <c r="L9" s="169"/>
    </row>
    <row r="10" spans="3:12" ht="12.75">
      <c r="C10" s="171"/>
      <c r="J10" s="169"/>
      <c r="K10" s="170"/>
      <c r="L10" s="169"/>
    </row>
    <row r="11" spans="2:12" ht="12.75">
      <c r="B11" s="152" t="s">
        <v>440</v>
      </c>
      <c r="C11" s="171"/>
      <c r="J11" s="172"/>
      <c r="K11" s="170"/>
      <c r="L11" s="172"/>
    </row>
    <row r="12" ht="12.75">
      <c r="C12" s="171"/>
    </row>
    <row r="13" spans="2:7" ht="12.75">
      <c r="B13" s="423" t="s">
        <v>225</v>
      </c>
      <c r="C13" s="423" t="s">
        <v>441</v>
      </c>
      <c r="D13" s="423"/>
      <c r="E13" s="423"/>
      <c r="F13" s="424" t="s">
        <v>442</v>
      </c>
      <c r="G13" s="424" t="s">
        <v>443</v>
      </c>
    </row>
    <row r="14" spans="2:7" ht="12.75">
      <c r="B14" s="423"/>
      <c r="C14" s="155" t="s">
        <v>444</v>
      </c>
      <c r="D14" s="155" t="s">
        <v>445</v>
      </c>
      <c r="E14" s="155" t="s">
        <v>40</v>
      </c>
      <c r="F14" s="424"/>
      <c r="G14" s="424"/>
    </row>
    <row r="15" spans="2:13" ht="12.75">
      <c r="B15" s="156" t="s">
        <v>446</v>
      </c>
      <c r="C15" s="158">
        <v>0</v>
      </c>
      <c r="D15" s="158">
        <f>'N-5'!O46</f>
        <v>165799420</v>
      </c>
      <c r="E15" s="158">
        <f>SUM(C15:D15)</f>
        <v>165799420</v>
      </c>
      <c r="F15" s="158">
        <v>166893899.48</v>
      </c>
      <c r="G15" s="173">
        <f>F15/E15</f>
        <v>1.0066012262286563</v>
      </c>
      <c r="L15" s="18" t="s">
        <v>575</v>
      </c>
      <c r="M15" s="68">
        <v>166893899</v>
      </c>
    </row>
    <row r="16" spans="2:13" ht="12.75">
      <c r="B16" s="156" t="s">
        <v>447</v>
      </c>
      <c r="C16" s="158">
        <v>0</v>
      </c>
      <c r="D16" s="158">
        <f>'N-5'!O68</f>
        <v>2077276</v>
      </c>
      <c r="E16" s="158">
        <f>SUM(C16:D16)</f>
        <v>2077276</v>
      </c>
      <c r="F16" s="158">
        <f>D16</f>
        <v>2077276</v>
      </c>
      <c r="G16" s="173">
        <f>F16/E16</f>
        <v>1</v>
      </c>
      <c r="L16" s="18" t="s">
        <v>390</v>
      </c>
      <c r="M16" s="68">
        <v>22741437</v>
      </c>
    </row>
    <row r="17" spans="2:7" ht="12.75">
      <c r="B17" s="156" t="s">
        <v>448</v>
      </c>
      <c r="C17" s="158">
        <v>0</v>
      </c>
      <c r="D17" s="158">
        <v>0</v>
      </c>
      <c r="E17" s="158">
        <v>0</v>
      </c>
      <c r="F17" s="158">
        <v>0</v>
      </c>
      <c r="G17" s="173">
        <v>0</v>
      </c>
    </row>
    <row r="18" spans="2:7" ht="13.5" thickBot="1">
      <c r="B18" s="159" t="s">
        <v>40</v>
      </c>
      <c r="C18" s="163"/>
      <c r="D18" s="163"/>
      <c r="E18" s="163"/>
      <c r="F18" s="163"/>
      <c r="G18" s="163"/>
    </row>
    <row r="19" ht="13.5" thickTop="1"/>
    <row r="20" ht="12.75">
      <c r="B20" s="151" t="s">
        <v>449</v>
      </c>
    </row>
    <row r="22" spans="2:6" ht="12.75">
      <c r="B22" s="159" t="s">
        <v>31</v>
      </c>
      <c r="C22" s="425" t="s">
        <v>450</v>
      </c>
      <c r="D22" s="425"/>
      <c r="E22" s="425" t="s">
        <v>451</v>
      </c>
      <c r="F22" s="425"/>
    </row>
    <row r="23" spans="2:6" ht="12.75">
      <c r="B23" s="156" t="s">
        <v>452</v>
      </c>
      <c r="C23" s="426">
        <v>0</v>
      </c>
      <c r="D23" s="426"/>
      <c r="E23" s="426">
        <v>0</v>
      </c>
      <c r="F23" s="426"/>
    </row>
    <row r="24" spans="2:6" ht="13.5" thickBot="1">
      <c r="B24" s="159" t="s">
        <v>40</v>
      </c>
      <c r="C24" s="427">
        <f>SUM(C23)</f>
        <v>0</v>
      </c>
      <c r="D24" s="427"/>
      <c r="E24" s="427">
        <f>SUM(E23)</f>
        <v>0</v>
      </c>
      <c r="F24" s="427"/>
    </row>
    <row r="25" ht="13.5" thickTop="1"/>
    <row r="26" spans="2:7" ht="25.5" customHeight="1">
      <c r="B26" s="422" t="s">
        <v>557</v>
      </c>
      <c r="C26" s="422"/>
      <c r="D26" s="422"/>
      <c r="E26" s="422"/>
      <c r="F26" s="422"/>
      <c r="G26" s="422"/>
    </row>
    <row r="27" spans="2:7" ht="24.75" customHeight="1">
      <c r="B27" s="422" t="s">
        <v>517</v>
      </c>
      <c r="C27" s="422"/>
      <c r="D27" s="422"/>
      <c r="E27" s="422"/>
      <c r="F27" s="422"/>
      <c r="G27" s="422"/>
    </row>
    <row r="28" ht="12.75">
      <c r="B28" s="152" t="s">
        <v>550</v>
      </c>
    </row>
  </sheetData>
  <sheetProtection/>
  <mergeCells count="14">
    <mergeCell ref="B5:C5"/>
    <mergeCell ref="B6:C6"/>
    <mergeCell ref="B13:B14"/>
    <mergeCell ref="C13:E13"/>
    <mergeCell ref="F13:F14"/>
    <mergeCell ref="G13:G14"/>
    <mergeCell ref="B26:G26"/>
    <mergeCell ref="B27:G27"/>
    <mergeCell ref="C22:D22"/>
    <mergeCell ref="E22:F22"/>
    <mergeCell ref="C23:D23"/>
    <mergeCell ref="E23:F23"/>
    <mergeCell ref="C24:D24"/>
    <mergeCell ref="E24:F24"/>
  </mergeCells>
  <printOptions/>
  <pageMargins left="1" right="0.75" top="1" bottom="1" header="0.5" footer="0.5"/>
  <pageSetup firstPageNumber="31" useFirstPageNumber="1" horizontalDpi="600" verticalDpi="600" orientation="portrait" paperSize="9" scale="85" r:id="rId1"/>
  <headerFooter>
    <oddHeader>&amp;RHAQUE SHAH ALAM MANSUR &amp;&amp; CO.
Chartered Accountants</oddHeader>
    <oddFooter>&amp;C30</oddFooter>
  </headerFooter>
</worksheet>
</file>

<file path=xl/worksheets/sheet14.xml><?xml version="1.0" encoding="utf-8"?>
<worksheet xmlns="http://schemas.openxmlformats.org/spreadsheetml/2006/main" xmlns:r="http://schemas.openxmlformats.org/officeDocument/2006/relationships">
  <dimension ref="A1:C22"/>
  <sheetViews>
    <sheetView zoomScalePageLayoutView="0" workbookViewId="0" topLeftCell="A16">
      <selection activeCell="A1" sqref="A1:C22"/>
    </sheetView>
  </sheetViews>
  <sheetFormatPr defaultColWidth="9.140625" defaultRowHeight="12.75"/>
  <cols>
    <col min="1" max="1" width="3.8515625" style="0" customWidth="1"/>
    <col min="2" max="2" width="69.00390625" style="0" customWidth="1"/>
    <col min="3" max="3" width="17.421875" style="0" customWidth="1"/>
  </cols>
  <sheetData>
    <row r="1" spans="1:3" ht="15">
      <c r="A1" s="174" t="s">
        <v>453</v>
      </c>
      <c r="B1" s="151" t="s">
        <v>454</v>
      </c>
      <c r="C1" s="152"/>
    </row>
    <row r="2" spans="2:3" ht="12.75">
      <c r="B2" s="152"/>
      <c r="C2" s="152"/>
    </row>
    <row r="3" spans="2:3" ht="58.5" customHeight="1">
      <c r="B3" s="155" t="s">
        <v>455</v>
      </c>
      <c r="C3" s="166" t="s">
        <v>456</v>
      </c>
    </row>
    <row r="4" spans="2:3" ht="12.75">
      <c r="B4" s="156" t="s">
        <v>457</v>
      </c>
      <c r="C4" s="175" t="s">
        <v>458</v>
      </c>
    </row>
    <row r="5" spans="2:3" ht="12.75">
      <c r="B5" s="156" t="s">
        <v>459</v>
      </c>
      <c r="C5" s="175" t="s">
        <v>460</v>
      </c>
    </row>
    <row r="6" spans="2:3" ht="12.75">
      <c r="B6" s="156" t="s">
        <v>461</v>
      </c>
      <c r="C6" s="175" t="s">
        <v>460</v>
      </c>
    </row>
    <row r="7" spans="2:3" ht="12.75">
      <c r="B7" s="156" t="s">
        <v>462</v>
      </c>
      <c r="C7" s="175" t="s">
        <v>458</v>
      </c>
    </row>
    <row r="8" spans="2:3" ht="12.75">
      <c r="B8" s="156" t="s">
        <v>463</v>
      </c>
      <c r="C8" s="175" t="s">
        <v>458</v>
      </c>
    </row>
    <row r="9" spans="2:3" ht="25.5">
      <c r="B9" s="176" t="s">
        <v>464</v>
      </c>
      <c r="C9" s="175" t="s">
        <v>458</v>
      </c>
    </row>
    <row r="10" spans="2:3" ht="25.5">
      <c r="B10" s="176" t="s">
        <v>465</v>
      </c>
      <c r="C10" s="175" t="s">
        <v>460</v>
      </c>
    </row>
    <row r="11" spans="2:3" ht="38.25">
      <c r="B11" s="176" t="s">
        <v>466</v>
      </c>
      <c r="C11" s="175" t="s">
        <v>458</v>
      </c>
    </row>
    <row r="12" spans="2:3" ht="25.5">
      <c r="B12" s="176" t="s">
        <v>467</v>
      </c>
      <c r="C12" s="175" t="s">
        <v>460</v>
      </c>
    </row>
    <row r="13" spans="2:3" ht="25.5">
      <c r="B13" s="176" t="s">
        <v>468</v>
      </c>
      <c r="C13" s="175" t="s">
        <v>458</v>
      </c>
    </row>
    <row r="14" spans="2:3" ht="12.75">
      <c r="B14" s="156" t="s">
        <v>518</v>
      </c>
      <c r="C14" s="175" t="s">
        <v>458</v>
      </c>
    </row>
    <row r="15" spans="2:3" ht="25.5">
      <c r="B15" s="176" t="s">
        <v>469</v>
      </c>
      <c r="C15" s="175" t="s">
        <v>460</v>
      </c>
    </row>
    <row r="16" spans="2:3" ht="12.75">
      <c r="B16" s="156" t="s">
        <v>470</v>
      </c>
      <c r="C16" s="175" t="s">
        <v>458</v>
      </c>
    </row>
    <row r="17" spans="2:3" ht="12.75">
      <c r="B17" s="156" t="s">
        <v>471</v>
      </c>
      <c r="C17" s="175" t="s">
        <v>458</v>
      </c>
    </row>
    <row r="18" spans="2:3" ht="39.75" customHeight="1">
      <c r="B18" s="176" t="s">
        <v>472</v>
      </c>
      <c r="C18" s="175" t="s">
        <v>460</v>
      </c>
    </row>
    <row r="19" spans="2:3" ht="12.75">
      <c r="B19" s="156" t="s">
        <v>473</v>
      </c>
      <c r="C19" s="175"/>
    </row>
    <row r="20" spans="2:3" ht="25.5">
      <c r="B20" s="176" t="s">
        <v>474</v>
      </c>
      <c r="C20" s="175" t="s">
        <v>460</v>
      </c>
    </row>
    <row r="21" spans="2:3" ht="12.75">
      <c r="B21" s="156" t="s">
        <v>475</v>
      </c>
      <c r="C21" s="175" t="s">
        <v>460</v>
      </c>
    </row>
    <row r="22" spans="2:3" ht="70.5" customHeight="1">
      <c r="B22" s="176" t="s">
        <v>558</v>
      </c>
      <c r="C22" s="175" t="s">
        <v>458</v>
      </c>
    </row>
  </sheetData>
  <sheetProtection/>
  <printOptions/>
  <pageMargins left="1" right="0.75" top="1" bottom="1" header="0.5" footer="0.5"/>
  <pageSetup firstPageNumber="32" useFirstPageNumber="1" horizontalDpi="600" verticalDpi="600" orientation="portrait" paperSize="9" scale="90" r:id="rId1"/>
  <headerFooter>
    <oddHeader>&amp;RHAQUE SHAH ALAM MANSUR &amp;&amp; CO.
Chartered Accountants</oddHeader>
    <oddFooter>&amp;C31
</oddFooter>
  </headerFooter>
</worksheet>
</file>

<file path=xl/worksheets/sheet15.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E16"/>
    </sheetView>
  </sheetViews>
  <sheetFormatPr defaultColWidth="9.140625" defaultRowHeight="12.75"/>
  <cols>
    <col min="1" max="1" width="3.7109375" style="154" customWidth="1"/>
    <col min="2" max="2" width="63.421875" style="152" customWidth="1"/>
    <col min="3" max="3" width="12.7109375" style="152" customWidth="1"/>
    <col min="4" max="4" width="0.5625" style="152" customWidth="1"/>
    <col min="5" max="5" width="12.7109375" style="152" customWidth="1"/>
    <col min="6" max="11" width="9.140625" style="152" customWidth="1"/>
    <col min="12" max="12" width="10.00390625" style="152" bestFit="1" customWidth="1"/>
    <col min="13" max="13" width="9.140625" style="152" customWidth="1"/>
    <col min="14" max="14" width="10.00390625" style="152" bestFit="1" customWidth="1"/>
    <col min="15" max="16384" width="9.140625" style="152" customWidth="1"/>
  </cols>
  <sheetData>
    <row r="1" spans="1:2" ht="12.75">
      <c r="A1" s="154" t="s">
        <v>476</v>
      </c>
      <c r="B1" s="151" t="s">
        <v>519</v>
      </c>
    </row>
    <row r="3" spans="2:5" ht="28.5" customHeight="1">
      <c r="B3" s="422" t="s">
        <v>477</v>
      </c>
      <c r="C3" s="422"/>
      <c r="D3" s="422"/>
      <c r="E3" s="422"/>
    </row>
    <row r="4" spans="2:5" ht="12.75">
      <c r="B4" s="151"/>
      <c r="C4" s="151"/>
      <c r="E4" s="151"/>
    </row>
    <row r="5" spans="2:5" ht="12.75">
      <c r="B5" s="159" t="s">
        <v>31</v>
      </c>
      <c r="C5" s="190">
        <v>42369</v>
      </c>
      <c r="D5" s="162"/>
      <c r="E5" s="190" t="s">
        <v>551</v>
      </c>
    </row>
    <row r="6" spans="2:5" ht="12.75">
      <c r="B6" s="156" t="s">
        <v>478</v>
      </c>
      <c r="C6" s="168">
        <f>'N-2'!O98+'N-2'!O99+'N-2'!O100+'N-2'!O95</f>
        <v>8702872</v>
      </c>
      <c r="D6" s="175"/>
      <c r="E6" s="168">
        <f>'N-2'!Q98+'N-2'!Q99+'N-2'!Q100+'N-2'!Q95</f>
        <v>10380547</v>
      </c>
    </row>
    <row r="7" spans="2:5" ht="12.75">
      <c r="B7" s="156" t="s">
        <v>479</v>
      </c>
      <c r="C7" s="168">
        <f>'N-2'!O93+'N-2'!O94+'N-2'!O101</f>
        <v>16364806</v>
      </c>
      <c r="D7" s="175"/>
      <c r="E7" s="168">
        <f>'N-2'!Q93+'N-2'!Q94+'N-2'!Q101</f>
        <v>17454474</v>
      </c>
    </row>
    <row r="8" spans="2:5" ht="12.75">
      <c r="B8" s="156" t="s">
        <v>520</v>
      </c>
      <c r="C8" s="175" t="s">
        <v>480</v>
      </c>
      <c r="D8" s="175"/>
      <c r="E8" s="175" t="s">
        <v>480</v>
      </c>
    </row>
    <row r="9" spans="2:5" ht="12.75">
      <c r="B9" s="177" t="s">
        <v>481</v>
      </c>
      <c r="C9" s="175" t="s">
        <v>480</v>
      </c>
      <c r="D9" s="175"/>
      <c r="E9" s="175" t="s">
        <v>480</v>
      </c>
    </row>
    <row r="10" spans="2:5" ht="12.75">
      <c r="B10" s="156" t="s">
        <v>482</v>
      </c>
      <c r="C10" s="175" t="s">
        <v>480</v>
      </c>
      <c r="D10" s="175"/>
      <c r="E10" s="175" t="s">
        <v>480</v>
      </c>
    </row>
    <row r="11" spans="2:5" ht="12.75">
      <c r="B11" s="156" t="s">
        <v>483</v>
      </c>
      <c r="C11" s="175" t="s">
        <v>480</v>
      </c>
      <c r="D11" s="175"/>
      <c r="E11" s="175" t="s">
        <v>480</v>
      </c>
    </row>
    <row r="12" spans="2:5" ht="12.75">
      <c r="B12" s="156" t="s">
        <v>484</v>
      </c>
      <c r="C12" s="175" t="s">
        <v>480</v>
      </c>
      <c r="D12" s="175"/>
      <c r="E12" s="175" t="s">
        <v>480</v>
      </c>
    </row>
    <row r="13" spans="2:5" ht="25.5">
      <c r="B13" s="176" t="s">
        <v>485</v>
      </c>
      <c r="C13" s="168">
        <f>'N-2'!O94</f>
        <v>2012617</v>
      </c>
      <c r="D13" s="168"/>
      <c r="E13" s="168">
        <f>'N-2'!Q94</f>
        <v>1416923</v>
      </c>
    </row>
    <row r="14" spans="2:5" ht="25.5">
      <c r="B14" s="176" t="s">
        <v>521</v>
      </c>
      <c r="C14" s="168">
        <v>0</v>
      </c>
      <c r="D14" s="168"/>
      <c r="E14" s="168">
        <v>0</v>
      </c>
    </row>
    <row r="15" spans="2:5" ht="12.75">
      <c r="B15" s="156" t="s">
        <v>486</v>
      </c>
      <c r="C15" s="175" t="s">
        <v>480</v>
      </c>
      <c r="D15" s="175"/>
      <c r="E15" s="175" t="s">
        <v>480</v>
      </c>
    </row>
    <row r="16" spans="2:5" ht="12.75">
      <c r="B16" s="156" t="s">
        <v>487</v>
      </c>
      <c r="C16" s="175" t="s">
        <v>480</v>
      </c>
      <c r="D16" s="175"/>
      <c r="E16" s="175" t="s">
        <v>480</v>
      </c>
    </row>
  </sheetData>
  <sheetProtection/>
  <mergeCells count="1">
    <mergeCell ref="B3:E3"/>
  </mergeCells>
  <printOptions/>
  <pageMargins left="1" right="0.75" top="1" bottom="1" header="0.5" footer="0.5"/>
  <pageSetup firstPageNumber="33" useFirstPageNumber="1" horizontalDpi="600" verticalDpi="600" orientation="portrait" paperSize="9" scale="90" r:id="rId1"/>
  <headerFooter>
    <oddHeader>&amp;RHAQUE SHAH ALAM MANSUR &amp;&amp; CO.
Chartered Accountants</oddHeader>
    <oddFooter>&amp;C32</oddFooter>
  </headerFooter>
</worksheet>
</file>

<file path=xl/worksheets/sheet16.xml><?xml version="1.0" encoding="utf-8"?>
<worksheet xmlns="http://schemas.openxmlformats.org/spreadsheetml/2006/main" xmlns:r="http://schemas.openxmlformats.org/officeDocument/2006/relationships">
  <dimension ref="A1:F38"/>
  <sheetViews>
    <sheetView zoomScalePageLayoutView="0" workbookViewId="0" topLeftCell="A1">
      <selection activeCell="B42" sqref="B42"/>
    </sheetView>
  </sheetViews>
  <sheetFormatPr defaultColWidth="9.140625" defaultRowHeight="12.75"/>
  <cols>
    <col min="1" max="1" width="4.7109375" style="0" customWidth="1"/>
    <col min="2" max="2" width="22.7109375" style="0" customWidth="1"/>
    <col min="3" max="3" width="18.7109375" style="0" customWidth="1"/>
    <col min="4" max="5" width="20.7109375" style="0" customWidth="1"/>
  </cols>
  <sheetData>
    <row r="1" spans="1:6" ht="12.75">
      <c r="A1" s="429" t="s">
        <v>253</v>
      </c>
      <c r="B1" s="429"/>
      <c r="C1" s="429"/>
      <c r="D1" s="429"/>
      <c r="E1" s="429"/>
      <c r="F1" s="84"/>
    </row>
    <row r="2" ht="10.5" customHeight="1"/>
    <row r="3" spans="1:2" ht="12.75">
      <c r="A3" s="3">
        <v>1</v>
      </c>
      <c r="B3" s="7" t="s">
        <v>552</v>
      </c>
    </row>
    <row r="4" ht="12.75">
      <c r="A4" s="3"/>
    </row>
    <row r="5" spans="1:2" ht="12.75">
      <c r="A5" s="3">
        <v>2</v>
      </c>
      <c r="B5" s="7" t="s">
        <v>354</v>
      </c>
    </row>
    <row r="6" ht="12.75">
      <c r="A6" s="3"/>
    </row>
    <row r="7" spans="1:2" ht="12.75">
      <c r="A7" s="3">
        <v>3</v>
      </c>
      <c r="B7" t="s">
        <v>245</v>
      </c>
    </row>
    <row r="8" ht="12.75">
      <c r="A8" s="3"/>
    </row>
    <row r="9" spans="1:5" ht="24.75" customHeight="1">
      <c r="A9" s="83">
        <v>4</v>
      </c>
      <c r="B9" s="418" t="s">
        <v>246</v>
      </c>
      <c r="C9" s="418"/>
      <c r="D9" s="418"/>
      <c r="E9" s="418"/>
    </row>
    <row r="10" ht="12.75">
      <c r="A10" s="3"/>
    </row>
    <row r="11" spans="1:5" ht="26.25" customHeight="1">
      <c r="A11" s="83">
        <v>5</v>
      </c>
      <c r="B11" s="418" t="s">
        <v>561</v>
      </c>
      <c r="C11" s="418"/>
      <c r="D11" s="418"/>
      <c r="E11" s="418"/>
    </row>
    <row r="13" spans="1:2" ht="12.75">
      <c r="A13" s="3">
        <v>6</v>
      </c>
      <c r="B13" t="s">
        <v>252</v>
      </c>
    </row>
    <row r="14" spans="1:3" ht="12.75">
      <c r="A14" s="3"/>
      <c r="B14" t="s">
        <v>241</v>
      </c>
      <c r="C14" t="s">
        <v>242</v>
      </c>
    </row>
    <row r="15" spans="1:3" ht="12.75">
      <c r="A15" s="3"/>
      <c r="B15" t="s">
        <v>243</v>
      </c>
      <c r="C15" t="s">
        <v>242</v>
      </c>
    </row>
    <row r="16" spans="1:3" ht="12.75">
      <c r="A16" s="3"/>
      <c r="B16" t="s">
        <v>244</v>
      </c>
      <c r="C16" t="s">
        <v>242</v>
      </c>
    </row>
    <row r="17" ht="12.75">
      <c r="A17" s="3"/>
    </row>
    <row r="18" spans="1:5" ht="39" customHeight="1">
      <c r="A18" s="83">
        <v>7</v>
      </c>
      <c r="B18" s="418" t="s">
        <v>247</v>
      </c>
      <c r="C18" s="418"/>
      <c r="D18" s="418"/>
      <c r="E18" s="418"/>
    </row>
    <row r="19" ht="12.75">
      <c r="A19" s="3"/>
    </row>
    <row r="20" spans="1:5" ht="26.25" customHeight="1">
      <c r="A20" s="83">
        <v>8</v>
      </c>
      <c r="B20" s="418" t="s">
        <v>248</v>
      </c>
      <c r="C20" s="418"/>
      <c r="D20" s="418"/>
      <c r="E20" s="418"/>
    </row>
    <row r="21" ht="12.75">
      <c r="A21" s="3"/>
    </row>
    <row r="22" spans="1:2" ht="12.75">
      <c r="A22" s="3">
        <v>9</v>
      </c>
      <c r="B22" t="s">
        <v>249</v>
      </c>
    </row>
    <row r="23" ht="12.75">
      <c r="A23" s="3"/>
    </row>
    <row r="24" spans="1:5" ht="26.25" customHeight="1">
      <c r="A24" s="83">
        <v>10</v>
      </c>
      <c r="B24" s="418" t="s">
        <v>250</v>
      </c>
      <c r="C24" s="418"/>
      <c r="D24" s="418"/>
      <c r="E24" s="418"/>
    </row>
    <row r="25" ht="12.75">
      <c r="A25" s="3"/>
    </row>
    <row r="26" spans="1:5" ht="26.25" customHeight="1">
      <c r="A26" s="83">
        <v>11</v>
      </c>
      <c r="B26" s="418" t="s">
        <v>251</v>
      </c>
      <c r="C26" s="418"/>
      <c r="D26" s="418"/>
      <c r="E26" s="418"/>
    </row>
    <row r="27" ht="12.75">
      <c r="A27" s="3"/>
    </row>
    <row r="28" spans="1:2" ht="12.75">
      <c r="A28" s="3">
        <v>12</v>
      </c>
      <c r="B28" t="s">
        <v>548</v>
      </c>
    </row>
    <row r="29" ht="12.75">
      <c r="A29" s="3"/>
    </row>
    <row r="30" spans="1:5" ht="26.25" customHeight="1">
      <c r="A30" s="83">
        <v>12</v>
      </c>
      <c r="B30" s="418" t="s">
        <v>353</v>
      </c>
      <c r="C30" s="418"/>
      <c r="D30" s="418"/>
      <c r="E30" s="418"/>
    </row>
    <row r="32" spans="1:2" ht="12.75">
      <c r="A32" s="83">
        <v>13</v>
      </c>
      <c r="B32" s="7" t="s">
        <v>355</v>
      </c>
    </row>
    <row r="34" spans="1:2" ht="12.75">
      <c r="A34" s="83">
        <v>14</v>
      </c>
      <c r="B34" s="7" t="s">
        <v>386</v>
      </c>
    </row>
    <row r="36" ht="12.75">
      <c r="A36" s="1" t="s">
        <v>356</v>
      </c>
    </row>
    <row r="37" ht="4.5" customHeight="1"/>
    <row r="38" spans="1:5" ht="24.75" customHeight="1">
      <c r="A38" s="418" t="s">
        <v>357</v>
      </c>
      <c r="B38" s="420"/>
      <c r="C38" s="420"/>
      <c r="D38" s="420"/>
      <c r="E38" s="420"/>
    </row>
  </sheetData>
  <sheetProtection/>
  <mergeCells count="9">
    <mergeCell ref="A1:E1"/>
    <mergeCell ref="B9:E9"/>
    <mergeCell ref="B18:E18"/>
    <mergeCell ref="A38:E38"/>
    <mergeCell ref="B20:E20"/>
    <mergeCell ref="B24:E24"/>
    <mergeCell ref="B26:E26"/>
    <mergeCell ref="B30:E30"/>
    <mergeCell ref="B11:E11"/>
  </mergeCells>
  <printOptions/>
  <pageMargins left="1" right="0.75" top="1" bottom="1" header="0.5" footer="0.5"/>
  <pageSetup firstPageNumber="34" useFirstPageNumber="1" horizontalDpi="600" verticalDpi="600" orientation="portrait" paperSize="9" scale="90" r:id="rId1"/>
  <headerFooter>
    <oddHeader>&amp;RHAQUE SHAH ALAM MANSUR &amp;&amp; CO.
Chartered Accountants</oddHeader>
    <oddFooter>&amp;C33</oddFooter>
  </headerFooter>
</worksheet>
</file>

<file path=xl/worksheets/sheet17.xml><?xml version="1.0" encoding="utf-8"?>
<worksheet xmlns="http://schemas.openxmlformats.org/spreadsheetml/2006/main" xmlns:r="http://schemas.openxmlformats.org/officeDocument/2006/relationships">
  <dimension ref="D4:F19"/>
  <sheetViews>
    <sheetView zoomScalePageLayoutView="0" workbookViewId="0" topLeftCell="A1">
      <selection activeCell="I12" sqref="I12"/>
    </sheetView>
  </sheetViews>
  <sheetFormatPr defaultColWidth="9.140625" defaultRowHeight="12.75"/>
  <cols>
    <col min="4" max="4" width="21.57421875" style="0" customWidth="1"/>
    <col min="5" max="5" width="18.8515625" style="0" customWidth="1"/>
  </cols>
  <sheetData>
    <row r="4" spans="4:6" ht="12.75">
      <c r="D4" s="7" t="s">
        <v>32</v>
      </c>
      <c r="E4" s="2">
        <v>210491529</v>
      </c>
      <c r="F4" s="370">
        <v>1</v>
      </c>
    </row>
    <row r="5" ht="12.75">
      <c r="D5" s="1" t="s">
        <v>577</v>
      </c>
    </row>
    <row r="7" spans="4:6" ht="12.75">
      <c r="D7" s="7" t="s">
        <v>578</v>
      </c>
      <c r="E7" s="2">
        <v>166893899</v>
      </c>
      <c r="F7" s="371">
        <f>E7/$E$4</f>
        <v>0.7928770330705327</v>
      </c>
    </row>
    <row r="8" spans="4:6" ht="12.75">
      <c r="D8" s="7" t="s">
        <v>579</v>
      </c>
      <c r="E8" s="2">
        <v>10047943</v>
      </c>
      <c r="F8" s="371">
        <f aca="true" t="shared" si="0" ref="F8:F14">E8/$E$4</f>
        <v>0.047735616952072214</v>
      </c>
    </row>
    <row r="9" spans="4:6" ht="12.75">
      <c r="D9" s="7" t="s">
        <v>580</v>
      </c>
      <c r="E9" s="2">
        <v>3057258</v>
      </c>
      <c r="F9" s="371">
        <f t="shared" si="0"/>
        <v>0.014524375467860277</v>
      </c>
    </row>
    <row r="10" spans="4:6" ht="12.75">
      <c r="D10" s="7" t="s">
        <v>164</v>
      </c>
      <c r="E10" s="2">
        <v>244338</v>
      </c>
      <c r="F10" s="371">
        <f t="shared" si="0"/>
        <v>0.0011607973069548087</v>
      </c>
    </row>
    <row r="11" spans="4:6" ht="12.75">
      <c r="D11" s="7" t="s">
        <v>180</v>
      </c>
      <c r="E11" s="2">
        <v>9391898</v>
      </c>
      <c r="F11" s="371">
        <f t="shared" si="0"/>
        <v>0.04461888820238462</v>
      </c>
    </row>
    <row r="12" spans="4:6" ht="12.75">
      <c r="D12" s="7" t="s">
        <v>581</v>
      </c>
      <c r="E12" s="2">
        <v>9374187</v>
      </c>
      <c r="F12" s="371">
        <f t="shared" si="0"/>
        <v>0.044534747049131844</v>
      </c>
    </row>
    <row r="13" spans="4:6" ht="12.75">
      <c r="D13" s="7" t="s">
        <v>582</v>
      </c>
      <c r="E13" s="2">
        <v>619901</v>
      </c>
      <c r="F13" s="371">
        <f t="shared" si="0"/>
        <v>0.0029450163764072426</v>
      </c>
    </row>
    <row r="14" spans="4:6" ht="12.75">
      <c r="D14" s="7" t="s">
        <v>583</v>
      </c>
      <c r="E14" s="2">
        <f>SUM(E7:E13)</f>
        <v>199629424</v>
      </c>
      <c r="F14" s="371">
        <f t="shared" si="0"/>
        <v>0.9483964744253437</v>
      </c>
    </row>
    <row r="15" spans="4:6" ht="12.75">
      <c r="D15" s="7" t="s">
        <v>36</v>
      </c>
      <c r="E15" s="2">
        <v>10862105</v>
      </c>
      <c r="F15" s="371">
        <f>E15/$E$4</f>
        <v>0.051603525574656264</v>
      </c>
    </row>
    <row r="16" ht="12.75">
      <c r="E16" s="2"/>
    </row>
    <row r="17" ht="12.75">
      <c r="E17" s="2"/>
    </row>
    <row r="19" ht="12.75">
      <c r="E19" s="369"/>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B1:O60"/>
  <sheetViews>
    <sheetView workbookViewId="0" topLeftCell="A25">
      <selection activeCell="G43" sqref="G42:G43"/>
    </sheetView>
  </sheetViews>
  <sheetFormatPr defaultColWidth="9.140625" defaultRowHeight="12.75"/>
  <cols>
    <col min="1" max="1" width="2.7109375" style="7" customWidth="1"/>
    <col min="2" max="2" width="17.8515625" style="7" customWidth="1"/>
    <col min="3" max="3" width="12.7109375" style="7" customWidth="1"/>
    <col min="4" max="4" width="4.421875" style="7" customWidth="1"/>
    <col min="5" max="5" width="7.7109375" style="7" customWidth="1"/>
    <col min="6" max="6" width="1.28515625" style="7" customWidth="1"/>
    <col min="7" max="7" width="12.7109375" style="9" customWidth="1"/>
    <col min="8" max="8" width="1.28515625" style="9" customWidth="1"/>
    <col min="9" max="9" width="1.28515625" style="7" customWidth="1"/>
    <col min="10" max="10" width="12.57421875" style="7" customWidth="1"/>
    <col min="11" max="11" width="1.28515625" style="7" customWidth="1"/>
    <col min="12" max="13" width="9.140625" style="7" customWidth="1"/>
    <col min="14" max="14" width="16.8515625" style="7" customWidth="1"/>
    <col min="15" max="15" width="14.140625" style="7" bestFit="1" customWidth="1"/>
    <col min="16" max="16384" width="9.140625" style="7" customWidth="1"/>
  </cols>
  <sheetData>
    <row r="1" spans="2:10" ht="18">
      <c r="B1" s="406" t="s">
        <v>325</v>
      </c>
      <c r="C1" s="406"/>
      <c r="D1" s="406"/>
      <c r="E1" s="406"/>
      <c r="F1" s="406"/>
      <c r="G1" s="406"/>
      <c r="H1" s="406"/>
      <c r="I1" s="406"/>
      <c r="J1" s="406"/>
    </row>
    <row r="2" spans="2:10" ht="15.75">
      <c r="B2" s="407" t="s">
        <v>328</v>
      </c>
      <c r="C2" s="407"/>
      <c r="D2" s="407"/>
      <c r="E2" s="407"/>
      <c r="F2" s="407"/>
      <c r="G2" s="407"/>
      <c r="H2" s="407"/>
      <c r="I2" s="407"/>
      <c r="J2" s="407"/>
    </row>
    <row r="3" spans="2:10" ht="15.75">
      <c r="B3" s="407" t="s">
        <v>527</v>
      </c>
      <c r="C3" s="407"/>
      <c r="D3" s="407"/>
      <c r="E3" s="407"/>
      <c r="F3" s="407"/>
      <c r="G3" s="407"/>
      <c r="H3" s="407"/>
      <c r="I3" s="407"/>
      <c r="J3" s="407"/>
    </row>
    <row r="5" spans="2:11" ht="12.75">
      <c r="B5" s="92" t="s">
        <v>31</v>
      </c>
      <c r="C5" s="201"/>
      <c r="D5" s="95"/>
      <c r="E5" s="13" t="s">
        <v>30</v>
      </c>
      <c r="F5" s="59"/>
      <c r="G5" s="94">
        <v>2015</v>
      </c>
      <c r="H5" s="60"/>
      <c r="I5" s="59"/>
      <c r="J5" s="94">
        <v>2014</v>
      </c>
      <c r="K5" s="213"/>
    </row>
    <row r="6" spans="2:11" ht="12.75">
      <c r="B6" s="202"/>
      <c r="C6" s="203"/>
      <c r="D6" s="204"/>
      <c r="E6" s="221"/>
      <c r="F6" s="228"/>
      <c r="G6" s="206" t="s">
        <v>35</v>
      </c>
      <c r="H6" s="207"/>
      <c r="I6" s="209"/>
      <c r="J6" s="206" t="s">
        <v>35</v>
      </c>
      <c r="K6" s="204"/>
    </row>
    <row r="7" spans="2:11" ht="12.75">
      <c r="B7" s="211"/>
      <c r="C7" s="212"/>
      <c r="D7" s="213"/>
      <c r="E7" s="13"/>
      <c r="F7" s="59"/>
      <c r="G7" s="242"/>
      <c r="H7" s="243"/>
      <c r="I7" s="222"/>
      <c r="J7" s="242"/>
      <c r="K7" s="213"/>
    </row>
    <row r="8" spans="2:11" ht="12.75">
      <c r="B8" s="214" t="s">
        <v>32</v>
      </c>
      <c r="C8" s="25"/>
      <c r="D8" s="215"/>
      <c r="E8" s="220">
        <v>19</v>
      </c>
      <c r="F8" s="226"/>
      <c r="G8" s="254">
        <f>'N-5'!M8</f>
        <v>210491529</v>
      </c>
      <c r="H8" s="244"/>
      <c r="I8" s="93"/>
      <c r="J8" s="254">
        <v>306956756</v>
      </c>
      <c r="K8" s="97"/>
    </row>
    <row r="9" spans="2:11" ht="12.75">
      <c r="B9" s="93"/>
      <c r="C9" s="27"/>
      <c r="D9" s="97"/>
      <c r="E9" s="220"/>
      <c r="F9" s="226"/>
      <c r="G9" s="65"/>
      <c r="H9" s="97"/>
      <c r="I9" s="93"/>
      <c r="J9" s="65"/>
      <c r="K9" s="97"/>
    </row>
    <row r="10" spans="2:11" ht="12.75">
      <c r="B10" s="214" t="s">
        <v>39</v>
      </c>
      <c r="C10" s="25"/>
      <c r="D10" s="215"/>
      <c r="E10" s="220">
        <v>20</v>
      </c>
      <c r="F10" s="226"/>
      <c r="G10" s="253">
        <f>-'N-5'!O25</f>
        <v>-199629424.48</v>
      </c>
      <c r="H10" s="244"/>
      <c r="I10" s="93"/>
      <c r="J10" s="253">
        <f>-'N-5'!Q25</f>
        <v>-290409260</v>
      </c>
      <c r="K10" s="97"/>
    </row>
    <row r="11" spans="2:15" ht="12.75">
      <c r="B11" s="214" t="s">
        <v>371</v>
      </c>
      <c r="C11" s="25"/>
      <c r="D11" s="215"/>
      <c r="E11" s="220"/>
      <c r="F11" s="226"/>
      <c r="G11" s="10">
        <f>G8+G10</f>
        <v>10862104.52000001</v>
      </c>
      <c r="H11" s="227"/>
      <c r="I11" s="214"/>
      <c r="J11" s="10">
        <f>J8+J10</f>
        <v>16547496</v>
      </c>
      <c r="K11" s="97"/>
      <c r="O11" s="23">
        <f>G11</f>
        <v>10862104.52000001</v>
      </c>
    </row>
    <row r="12" spans="2:11" ht="7.5" customHeight="1">
      <c r="B12" s="93"/>
      <c r="C12" s="27"/>
      <c r="D12" s="97"/>
      <c r="E12" s="220"/>
      <c r="F12" s="226"/>
      <c r="G12" s="245"/>
      <c r="H12" s="246"/>
      <c r="I12" s="93"/>
      <c r="J12" s="252"/>
      <c r="K12" s="97"/>
    </row>
    <row r="13" spans="2:15" ht="12.75">
      <c r="B13" s="214" t="s">
        <v>38</v>
      </c>
      <c r="C13" s="25"/>
      <c r="D13" s="215"/>
      <c r="E13" s="220"/>
      <c r="F13" s="226"/>
      <c r="G13" s="10">
        <f>SUM(G14:G15)</f>
        <v>-20751155</v>
      </c>
      <c r="H13" s="227"/>
      <c r="I13" s="93"/>
      <c r="J13" s="10">
        <f>J14+J15</f>
        <v>-23439564</v>
      </c>
      <c r="K13" s="97"/>
      <c r="O13" s="7">
        <f>O11/G8</f>
        <v>0.05160352329427951</v>
      </c>
    </row>
    <row r="14" spans="2:11" ht="12.75">
      <c r="B14" s="93" t="s">
        <v>73</v>
      </c>
      <c r="C14" s="27"/>
      <c r="D14" s="97"/>
      <c r="E14" s="220">
        <v>21</v>
      </c>
      <c r="F14" s="226"/>
      <c r="G14" s="11">
        <f>-'N-5'!O109</f>
        <v>-19928571</v>
      </c>
      <c r="H14" s="225"/>
      <c r="I14" s="93"/>
      <c r="J14" s="11">
        <f>-'N-5'!Q109</f>
        <v>-22276646</v>
      </c>
      <c r="K14" s="97"/>
    </row>
    <row r="15" spans="2:11" ht="12.75">
      <c r="B15" s="93" t="s">
        <v>51</v>
      </c>
      <c r="C15" s="27"/>
      <c r="D15" s="97"/>
      <c r="E15" s="220">
        <v>22</v>
      </c>
      <c r="F15" s="226"/>
      <c r="G15" s="17">
        <v>-822584</v>
      </c>
      <c r="H15" s="225"/>
      <c r="I15" s="93"/>
      <c r="J15" s="17">
        <v>-1162918</v>
      </c>
      <c r="K15" s="97"/>
    </row>
    <row r="16" spans="2:11" ht="7.5" customHeight="1">
      <c r="B16" s="93"/>
      <c r="C16" s="27"/>
      <c r="D16" s="97"/>
      <c r="E16" s="65"/>
      <c r="F16" s="93"/>
      <c r="G16" s="247"/>
      <c r="H16" s="248"/>
      <c r="I16" s="93"/>
      <c r="J16" s="27"/>
      <c r="K16" s="97"/>
    </row>
    <row r="17" spans="2:15" ht="12.75">
      <c r="B17" s="214" t="s">
        <v>595</v>
      </c>
      <c r="C17" s="27"/>
      <c r="D17" s="97"/>
      <c r="E17" s="65"/>
      <c r="F17" s="93"/>
      <c r="G17" s="375">
        <f>G11+G13</f>
        <v>-9889050.47999999</v>
      </c>
      <c r="H17" s="249"/>
      <c r="I17" s="214"/>
      <c r="J17" s="375">
        <f>J11+J13</f>
        <v>-6892068</v>
      </c>
      <c r="K17" s="97"/>
      <c r="O17" s="23">
        <f>-G10</f>
        <v>199629424.48</v>
      </c>
    </row>
    <row r="18" spans="2:15" ht="12.75">
      <c r="B18" s="93"/>
      <c r="C18" s="27"/>
      <c r="D18" s="97"/>
      <c r="E18" s="220"/>
      <c r="F18" s="226"/>
      <c r="G18" s="247"/>
      <c r="H18" s="248"/>
      <c r="I18" s="93"/>
      <c r="J18" s="247"/>
      <c r="K18" s="97"/>
      <c r="O18" s="7">
        <f>O17/G8</f>
        <v>0.9483964767057205</v>
      </c>
    </row>
    <row r="19" spans="2:11" ht="12.75">
      <c r="B19" s="93" t="s">
        <v>190</v>
      </c>
      <c r="C19" s="27"/>
      <c r="D19" s="97"/>
      <c r="E19" s="220">
        <v>23</v>
      </c>
      <c r="F19" s="226"/>
      <c r="G19" s="122">
        <f>-'N-5'!O126</f>
        <v>-89516</v>
      </c>
      <c r="H19" s="227"/>
      <c r="I19" s="214"/>
      <c r="J19" s="122">
        <v>-88596</v>
      </c>
      <c r="K19" s="97"/>
    </row>
    <row r="20" spans="2:11" ht="12.75">
      <c r="B20" s="93"/>
      <c r="C20" s="27"/>
      <c r="D20" s="97"/>
      <c r="E20" s="220"/>
      <c r="F20" s="247"/>
      <c r="G20" s="247"/>
      <c r="H20" s="248"/>
      <c r="I20" s="93"/>
      <c r="J20" s="247"/>
      <c r="K20" s="97"/>
    </row>
    <row r="21" spans="2:11" ht="12.75">
      <c r="B21" s="214" t="s">
        <v>596</v>
      </c>
      <c r="C21" s="25"/>
      <c r="D21" s="215"/>
      <c r="E21" s="220"/>
      <c r="F21" s="247"/>
      <c r="G21" s="122">
        <f>G17+G19</f>
        <v>-9978566.47999999</v>
      </c>
      <c r="H21" s="227"/>
      <c r="I21" s="27"/>
      <c r="J21" s="122">
        <f>J17+J19</f>
        <v>-6980664</v>
      </c>
      <c r="K21" s="97"/>
    </row>
    <row r="22" spans="2:11" ht="12.75">
      <c r="B22" s="214"/>
      <c r="C22" s="25"/>
      <c r="D22" s="215"/>
      <c r="E22" s="220"/>
      <c r="F22" s="247"/>
      <c r="G22" s="10"/>
      <c r="H22" s="227"/>
      <c r="I22" s="27"/>
      <c r="J22" s="10"/>
      <c r="K22" s="97"/>
    </row>
    <row r="23" spans="2:11" ht="12.75">
      <c r="B23" s="93" t="s">
        <v>277</v>
      </c>
      <c r="C23" s="25"/>
      <c r="D23" s="215"/>
      <c r="E23" s="220"/>
      <c r="F23" s="247"/>
      <c r="G23" s="10">
        <v>0</v>
      </c>
      <c r="H23" s="227"/>
      <c r="I23" s="27"/>
      <c r="J23" s="10">
        <v>0</v>
      </c>
      <c r="K23" s="97"/>
    </row>
    <row r="24" spans="2:11" ht="12.75">
      <c r="B24" s="214"/>
      <c r="C24" s="25"/>
      <c r="D24" s="239"/>
      <c r="E24" s="220"/>
      <c r="F24" s="226"/>
      <c r="G24" s="10"/>
      <c r="H24" s="227"/>
      <c r="I24" s="93"/>
      <c r="J24" s="10"/>
      <c r="K24" s="97"/>
    </row>
    <row r="25" spans="2:11" ht="12.75">
      <c r="B25" s="214" t="s">
        <v>597</v>
      </c>
      <c r="C25" s="25"/>
      <c r="D25" s="215"/>
      <c r="E25" s="220"/>
      <c r="F25" s="226"/>
      <c r="G25" s="122">
        <f>G21-G23</f>
        <v>-9978566.47999999</v>
      </c>
      <c r="H25" s="227"/>
      <c r="I25" s="93"/>
      <c r="J25" s="122">
        <f>J21</f>
        <v>-6980664</v>
      </c>
      <c r="K25" s="97"/>
    </row>
    <row r="26" spans="2:11" ht="12.75">
      <c r="B26" s="214"/>
      <c r="C26" s="25"/>
      <c r="D26" s="215"/>
      <c r="E26" s="220"/>
      <c r="F26" s="226"/>
      <c r="G26" s="10"/>
      <c r="H26" s="227"/>
      <c r="I26" s="93"/>
      <c r="J26" s="10"/>
      <c r="K26" s="97"/>
    </row>
    <row r="27" spans="2:11" ht="12.75">
      <c r="B27" s="240" t="s">
        <v>508</v>
      </c>
      <c r="C27" s="25"/>
      <c r="D27" s="215"/>
      <c r="E27" s="220"/>
      <c r="F27" s="226"/>
      <c r="G27" s="10">
        <f>SUM(G28:G29)</f>
        <v>1203301</v>
      </c>
      <c r="H27" s="227"/>
      <c r="I27" s="93"/>
      <c r="J27" s="10">
        <v>588969</v>
      </c>
      <c r="K27" s="97"/>
    </row>
    <row r="28" spans="2:11" ht="12.75">
      <c r="B28" s="218" t="s">
        <v>509</v>
      </c>
      <c r="C28" s="25"/>
      <c r="D28" s="215"/>
      <c r="E28" s="220"/>
      <c r="F28" s="226"/>
      <c r="G28" s="11">
        <v>-631475</v>
      </c>
      <c r="H28" s="225"/>
      <c r="I28" s="93"/>
      <c r="J28" s="11">
        <v>-1301544</v>
      </c>
      <c r="K28" s="97"/>
    </row>
    <row r="29" spans="2:11" ht="12.75">
      <c r="B29" s="218" t="s">
        <v>510</v>
      </c>
      <c r="C29" s="25"/>
      <c r="D29" s="215"/>
      <c r="E29" s="220"/>
      <c r="F29" s="226"/>
      <c r="G29" s="17">
        <v>1834776</v>
      </c>
      <c r="H29" s="225"/>
      <c r="I29" s="93"/>
      <c r="J29" s="17">
        <v>1890513</v>
      </c>
      <c r="K29" s="97"/>
    </row>
    <row r="30" spans="2:11" ht="12.75">
      <c r="B30" s="232"/>
      <c r="C30" s="241"/>
      <c r="D30" s="99"/>
      <c r="E30" s="221"/>
      <c r="F30" s="228"/>
      <c r="G30" s="250"/>
      <c r="H30" s="251"/>
      <c r="I30" s="202"/>
      <c r="J30" s="250"/>
      <c r="K30" s="204"/>
    </row>
    <row r="31" spans="2:15" ht="12.75">
      <c r="B31" s="127" t="s">
        <v>598</v>
      </c>
      <c r="C31" s="123"/>
      <c r="D31" s="128"/>
      <c r="E31" s="235"/>
      <c r="F31" s="256"/>
      <c r="G31" s="121">
        <f>G25+G27</f>
        <v>-8775265.47999999</v>
      </c>
      <c r="H31" s="230"/>
      <c r="I31" s="259"/>
      <c r="J31" s="121">
        <f>J25+J27</f>
        <v>-6391695</v>
      </c>
      <c r="K31" s="258"/>
      <c r="O31" s="23"/>
    </row>
    <row r="32" spans="2:12" ht="12.75">
      <c r="B32" s="127" t="s">
        <v>23</v>
      </c>
      <c r="C32" s="123"/>
      <c r="D32" s="128"/>
      <c r="E32" s="235">
        <v>24</v>
      </c>
      <c r="F32" s="256"/>
      <c r="G32" s="260">
        <f>'N-5'!G136</f>
        <v>-1.8093330886597916</v>
      </c>
      <c r="H32" s="261"/>
      <c r="I32" s="233"/>
      <c r="J32" s="260">
        <f>'N-5'!I136</f>
        <v>-1.3178752577319588</v>
      </c>
      <c r="K32" s="258"/>
      <c r="L32"/>
    </row>
    <row r="33" spans="2:10" ht="12.75">
      <c r="B33" t="s">
        <v>33</v>
      </c>
      <c r="J33" s="7"/>
    </row>
    <row r="34" ht="12.75">
      <c r="J34" s="7"/>
    </row>
    <row r="35" ht="12.75">
      <c r="J35" s="7"/>
    </row>
    <row r="36" ht="12.75"/>
    <row r="37" spans="2:11" ht="12.75">
      <c r="B37" s="236" t="s">
        <v>613</v>
      </c>
      <c r="C37" s="368"/>
      <c r="D37" s="368"/>
      <c r="E37" s="368" t="s">
        <v>332</v>
      </c>
      <c r="F37" s="3"/>
      <c r="H37" s="1"/>
      <c r="I37" s="236" t="s">
        <v>614</v>
      </c>
      <c r="J37" s="237"/>
      <c r="K37" s="237"/>
    </row>
    <row r="38" spans="2:12" ht="12.75">
      <c r="B38" s="379" t="s">
        <v>283</v>
      </c>
      <c r="C38" s="381"/>
      <c r="D38" s="381"/>
      <c r="E38" s="408" t="s">
        <v>241</v>
      </c>
      <c r="F38" s="408"/>
      <c r="G38" s="381"/>
      <c r="H38" s="379" t="s">
        <v>594</v>
      </c>
      <c r="I38" s="381"/>
      <c r="J38" s="381"/>
      <c r="K38" s="381"/>
      <c r="L38" s="381"/>
    </row>
    <row r="39" spans="2:11" ht="12.75">
      <c r="B39" s="237"/>
      <c r="C39" s="237"/>
      <c r="D39" s="237"/>
      <c r="E39" s="238"/>
      <c r="F39" s="237"/>
      <c r="G39" s="366"/>
      <c r="H39" s="237"/>
      <c r="I39" s="366"/>
      <c r="J39" s="237"/>
      <c r="K39" s="237"/>
    </row>
    <row r="40" spans="2:12" s="381" customFormat="1" ht="18" customHeight="1">
      <c r="B40" s="237"/>
      <c r="C40" s="237"/>
      <c r="D40" s="237"/>
      <c r="E40" s="238"/>
      <c r="F40" s="237"/>
      <c r="G40" s="366"/>
      <c r="H40" s="237"/>
      <c r="I40" s="366"/>
      <c r="J40" s="237"/>
      <c r="K40" s="237"/>
      <c r="L40"/>
    </row>
    <row r="41" spans="2:11" ht="12.75">
      <c r="B41" s="236" t="s">
        <v>615</v>
      </c>
      <c r="C41" s="237"/>
      <c r="D41" s="237"/>
      <c r="E41" s="238"/>
      <c r="F41" s="237"/>
      <c r="G41" s="366"/>
      <c r="H41" s="237"/>
      <c r="I41" s="366"/>
      <c r="J41" s="237"/>
      <c r="K41" s="237"/>
    </row>
    <row r="42" spans="2:11" ht="12.75">
      <c r="B42" s="409" t="s">
        <v>593</v>
      </c>
      <c r="C42" s="409"/>
      <c r="D42" s="409"/>
      <c r="E42" s="409"/>
      <c r="F42" s="409"/>
      <c r="G42" s="237"/>
      <c r="H42" s="237"/>
      <c r="I42" s="366"/>
      <c r="J42" s="237"/>
      <c r="K42" s="237"/>
    </row>
    <row r="43" ht="12.75">
      <c r="D43" s="7" t="s">
        <v>574</v>
      </c>
    </row>
    <row r="44" spans="4:5" ht="12.75">
      <c r="D44" t="s">
        <v>573</v>
      </c>
      <c r="E44" s="7"/>
    </row>
    <row r="45" ht="12.75"/>
    <row r="46" ht="9" customHeight="1">
      <c r="I46" s="1"/>
    </row>
    <row r="47" ht="12.75">
      <c r="I47" s="1"/>
    </row>
    <row r="48" spans="2:10" ht="12.75">
      <c r="B48" s="1" t="s">
        <v>28</v>
      </c>
      <c r="C48" s="1"/>
      <c r="D48" s="1"/>
      <c r="E48" s="236" t="s">
        <v>587</v>
      </c>
      <c r="F48" s="236"/>
      <c r="G48" s="238"/>
      <c r="H48" s="238"/>
      <c r="I48" s="236"/>
      <c r="J48" s="237"/>
    </row>
    <row r="49" spans="2:6" ht="12.75">
      <c r="B49" s="126" t="s">
        <v>618</v>
      </c>
      <c r="C49" s="1"/>
      <c r="D49" s="1"/>
      <c r="E49" s="1" t="s">
        <v>34</v>
      </c>
      <c r="F49" s="1"/>
    </row>
    <row r="50" spans="2:9" ht="12.75">
      <c r="B50" s="1"/>
      <c r="C50" s="1"/>
      <c r="D50" s="1"/>
      <c r="E50" s="1"/>
      <c r="F50" s="1"/>
      <c r="I50" s="1"/>
    </row>
    <row r="51" spans="2:6" ht="12.75">
      <c r="B51" s="126"/>
      <c r="C51" s="1"/>
      <c r="D51" s="1"/>
      <c r="E51" s="1"/>
      <c r="F51" s="1"/>
    </row>
    <row r="54" spans="2:10" ht="12.75">
      <c r="B54" s="18"/>
      <c r="C54" s="18"/>
      <c r="D54" s="18"/>
      <c r="E54" s="18"/>
      <c r="F54" s="18"/>
      <c r="G54" s="18"/>
      <c r="H54" s="18"/>
      <c r="I54" s="18"/>
      <c r="J54" s="18"/>
    </row>
    <row r="55" spans="2:10" ht="12.75">
      <c r="B55" s="8"/>
      <c r="C55" s="8"/>
      <c r="D55" s="8"/>
      <c r="E55" s="18"/>
      <c r="F55" s="18"/>
      <c r="G55" s="18"/>
      <c r="H55" s="18"/>
      <c r="I55" s="18"/>
      <c r="J55" s="18"/>
    </row>
    <row r="56" spans="2:10" ht="12.75">
      <c r="B56" s="8"/>
      <c r="C56" s="8"/>
      <c r="D56" s="8"/>
      <c r="E56" s="18"/>
      <c r="F56" s="18"/>
      <c r="G56" s="18"/>
      <c r="H56" s="18"/>
      <c r="I56" s="18"/>
      <c r="J56" s="18"/>
    </row>
    <row r="58" spans="9:10" ht="12.75">
      <c r="I58" s="1"/>
      <c r="J58" s="1"/>
    </row>
    <row r="59" spans="2:10" ht="12.75">
      <c r="B59" s="1"/>
      <c r="C59" s="1"/>
      <c r="D59" s="1"/>
      <c r="G59" s="4"/>
      <c r="H59" s="4"/>
      <c r="I59" s="4"/>
      <c r="J59" s="1"/>
    </row>
    <row r="60" spans="2:9" ht="12.75">
      <c r="B60" s="1"/>
      <c r="C60" s="1"/>
      <c r="D60" s="1"/>
      <c r="I60" s="16"/>
    </row>
  </sheetData>
  <sheetProtection/>
  <mergeCells count="5">
    <mergeCell ref="B42:F42"/>
    <mergeCell ref="B1:J1"/>
    <mergeCell ref="B2:J2"/>
    <mergeCell ref="B3:J3"/>
    <mergeCell ref="E38:F38"/>
  </mergeCells>
  <printOptions horizontalCentered="1"/>
  <pageMargins left="1" right="0.5" top="1" bottom="1" header="0.5" footer="0.5"/>
  <pageSetup firstPageNumber="4" useFirstPageNumber="1" horizontalDpi="600" verticalDpi="600" orientation="portrait" paperSize="9" r:id="rId1"/>
  <headerFooter alignWithMargins="0">
    <oddHeader>&amp;RHAQUE SHAH ALAM MANSUR &amp;&amp; CO.
Chartered Accountants</oddHeader>
    <oddFooter>&amp;C&amp;P</oddFooter>
  </headerFooter>
</worksheet>
</file>

<file path=xl/worksheets/sheet3.xml><?xml version="1.0" encoding="utf-8"?>
<worksheet xmlns="http://schemas.openxmlformats.org/spreadsheetml/2006/main" xmlns:r="http://schemas.openxmlformats.org/officeDocument/2006/relationships">
  <dimension ref="B1:V60"/>
  <sheetViews>
    <sheetView zoomScalePageLayoutView="0" workbookViewId="0" topLeftCell="A40">
      <selection activeCell="B48" sqref="B48:S49"/>
    </sheetView>
  </sheetViews>
  <sheetFormatPr defaultColWidth="9.140625" defaultRowHeight="12.75"/>
  <cols>
    <col min="1" max="1" width="1.1484375" style="432" customWidth="1"/>
    <col min="2" max="2" width="37.57421875" style="432" customWidth="1"/>
    <col min="3" max="3" width="6.57421875" style="495" customWidth="1"/>
    <col min="4" max="4" width="0.9921875" style="432" customWidth="1"/>
    <col min="5" max="5" width="13.57421875" style="494" customWidth="1"/>
    <col min="6" max="6" width="0.9921875" style="432" customWidth="1"/>
    <col min="7" max="7" width="13.28125" style="494" customWidth="1"/>
    <col min="8" max="8" width="1.1484375" style="432" customWidth="1"/>
    <col min="9" max="9" width="13.28125" style="494" customWidth="1"/>
    <col min="10" max="10" width="1.57421875" style="432" customWidth="1"/>
    <col min="11" max="11" width="13.7109375" style="494" customWidth="1"/>
    <col min="12" max="12" width="1.57421875" style="432" customWidth="1"/>
    <col min="13" max="13" width="14.57421875" style="494" customWidth="1"/>
    <col min="14" max="14" width="1.57421875" style="432" customWidth="1"/>
    <col min="15" max="15" width="13.8515625" style="494" customWidth="1"/>
    <col min="16" max="16" width="1.57421875" style="432" customWidth="1"/>
    <col min="17" max="17" width="14.28125" style="494" customWidth="1"/>
    <col min="18" max="18" width="1.57421875" style="432" customWidth="1"/>
    <col min="19" max="19" width="14.28125" style="494" customWidth="1"/>
    <col min="20" max="20" width="1.28515625" style="432" customWidth="1"/>
    <col min="21" max="21" width="9.140625" style="432" customWidth="1"/>
    <col min="22" max="22" width="13.57421875" style="432" customWidth="1"/>
    <col min="23" max="16384" width="9.140625" style="432" customWidth="1"/>
  </cols>
  <sheetData>
    <row r="1" spans="2:19" ht="12.75" customHeight="1">
      <c r="B1" s="430" t="s">
        <v>325</v>
      </c>
      <c r="C1" s="430"/>
      <c r="D1" s="430"/>
      <c r="E1" s="430"/>
      <c r="F1" s="430"/>
      <c r="G1" s="430"/>
      <c r="H1" s="430"/>
      <c r="I1" s="430"/>
      <c r="J1" s="430"/>
      <c r="K1" s="430"/>
      <c r="L1" s="430"/>
      <c r="M1" s="430"/>
      <c r="N1" s="430"/>
      <c r="O1" s="430"/>
      <c r="P1" s="430"/>
      <c r="Q1" s="430"/>
      <c r="R1" s="430"/>
      <c r="S1" s="430"/>
    </row>
    <row r="2" spans="2:19" ht="12.75" customHeight="1">
      <c r="B2" s="431" t="s">
        <v>330</v>
      </c>
      <c r="C2" s="431"/>
      <c r="D2" s="431"/>
      <c r="E2" s="431"/>
      <c r="F2" s="431"/>
      <c r="G2" s="431"/>
      <c r="H2" s="431"/>
      <c r="I2" s="431"/>
      <c r="J2" s="431"/>
      <c r="K2" s="431"/>
      <c r="L2" s="431"/>
      <c r="M2" s="431"/>
      <c r="N2" s="431"/>
      <c r="O2" s="431"/>
      <c r="P2" s="431"/>
      <c r="Q2" s="431"/>
      <c r="R2" s="431"/>
      <c r="S2" s="431"/>
    </row>
    <row r="3" spans="2:19" ht="12.75" customHeight="1">
      <c r="B3" s="431" t="s">
        <v>526</v>
      </c>
      <c r="C3" s="431"/>
      <c r="D3" s="431"/>
      <c r="E3" s="431"/>
      <c r="F3" s="431"/>
      <c r="G3" s="431"/>
      <c r="H3" s="431"/>
      <c r="I3" s="431"/>
      <c r="J3" s="431"/>
      <c r="K3" s="431"/>
      <c r="L3" s="431"/>
      <c r="M3" s="431"/>
      <c r="N3" s="431"/>
      <c r="O3" s="431"/>
      <c r="P3" s="431"/>
      <c r="Q3" s="431"/>
      <c r="R3" s="431"/>
      <c r="S3" s="431"/>
    </row>
    <row r="4" ht="12.75" customHeight="1"/>
    <row r="5" spans="2:20" ht="12.75" customHeight="1">
      <c r="B5" s="433" t="s">
        <v>69</v>
      </c>
      <c r="C5" s="434" t="s">
        <v>254</v>
      </c>
      <c r="D5" s="435"/>
      <c r="E5" s="436" t="s">
        <v>298</v>
      </c>
      <c r="F5" s="436"/>
      <c r="G5" s="437" t="s">
        <v>300</v>
      </c>
      <c r="H5" s="435"/>
      <c r="I5" s="437" t="s">
        <v>301</v>
      </c>
      <c r="J5" s="435"/>
      <c r="K5" s="437" t="s">
        <v>302</v>
      </c>
      <c r="L5" s="434"/>
      <c r="M5" s="437" t="s">
        <v>303</v>
      </c>
      <c r="N5" s="435"/>
      <c r="O5" s="436" t="s">
        <v>304</v>
      </c>
      <c r="P5" s="435"/>
      <c r="Q5" s="436">
        <v>2015</v>
      </c>
      <c r="R5" s="435"/>
      <c r="S5" s="436">
        <v>2014</v>
      </c>
      <c r="T5" s="438"/>
    </row>
    <row r="6" spans="2:20" ht="12.75" customHeight="1">
      <c r="B6" s="439"/>
      <c r="C6" s="440"/>
      <c r="D6" s="441"/>
      <c r="E6" s="442" t="s">
        <v>35</v>
      </c>
      <c r="F6" s="442"/>
      <c r="G6" s="443" t="s">
        <v>35</v>
      </c>
      <c r="H6" s="444"/>
      <c r="I6" s="443" t="s">
        <v>35</v>
      </c>
      <c r="J6" s="444"/>
      <c r="K6" s="443" t="s">
        <v>35</v>
      </c>
      <c r="L6" s="445"/>
      <c r="M6" s="443" t="s">
        <v>35</v>
      </c>
      <c r="N6" s="444"/>
      <c r="O6" s="442" t="s">
        <v>35</v>
      </c>
      <c r="P6" s="444"/>
      <c r="Q6" s="442" t="s">
        <v>35</v>
      </c>
      <c r="R6" s="444"/>
      <c r="S6" s="442" t="s">
        <v>35</v>
      </c>
      <c r="T6" s="446"/>
    </row>
    <row r="7" spans="2:20" ht="12.75" customHeight="1">
      <c r="B7" s="447"/>
      <c r="C7" s="448"/>
      <c r="D7" s="449"/>
      <c r="E7" s="450"/>
      <c r="F7" s="451"/>
      <c r="G7" s="450"/>
      <c r="H7" s="451"/>
      <c r="I7" s="450"/>
      <c r="J7" s="451"/>
      <c r="K7" s="450"/>
      <c r="L7" s="451"/>
      <c r="M7" s="450"/>
      <c r="N7" s="451"/>
      <c r="O7" s="450"/>
      <c r="P7" s="451"/>
      <c r="Q7" s="450"/>
      <c r="R7" s="451"/>
      <c r="S7" s="450"/>
      <c r="T7" s="438"/>
    </row>
    <row r="8" spans="2:20" ht="12.75" customHeight="1">
      <c r="B8" s="452" t="s">
        <v>13</v>
      </c>
      <c r="C8" s="453"/>
      <c r="D8" s="454"/>
      <c r="E8" s="455">
        <f>SUM(E9:E10)</f>
        <v>22886218</v>
      </c>
      <c r="F8" s="456"/>
      <c r="G8" s="455">
        <f>SUM(G9:G10)</f>
        <v>2190692</v>
      </c>
      <c r="H8" s="456"/>
      <c r="I8" s="455">
        <f>SUM(I9:I10)</f>
        <v>8423328</v>
      </c>
      <c r="J8" s="456"/>
      <c r="K8" s="455">
        <f>SUM(K9:K10)</f>
        <v>28809160</v>
      </c>
      <c r="L8" s="456"/>
      <c r="M8" s="455">
        <f>SUM(M9:M10)</f>
        <v>28603877</v>
      </c>
      <c r="N8" s="456"/>
      <c r="O8" s="455">
        <f>SUM(O9:O10)</f>
        <v>19904359</v>
      </c>
      <c r="P8" s="456"/>
      <c r="Q8" s="455">
        <f>SUM(Q9:Q10)</f>
        <v>110817634</v>
      </c>
      <c r="R8" s="455">
        <f>SUM(R9:R10)</f>
        <v>0</v>
      </c>
      <c r="S8" s="455">
        <f>SUM(S9:S10)</f>
        <v>119875442</v>
      </c>
      <c r="T8" s="457"/>
    </row>
    <row r="9" spans="2:20" ht="12.75" customHeight="1">
      <c r="B9" s="458" t="s">
        <v>44</v>
      </c>
      <c r="C9" s="459" t="s">
        <v>16</v>
      </c>
      <c r="D9" s="454"/>
      <c r="E9" s="460">
        <f>'N-1'!N22</f>
        <v>22886218</v>
      </c>
      <c r="F9" s="456"/>
      <c r="G9" s="460">
        <f>'N-1'!N26</f>
        <v>2190692</v>
      </c>
      <c r="H9" s="456"/>
      <c r="I9" s="460">
        <f>'N-1'!N30</f>
        <v>8423328</v>
      </c>
      <c r="J9" s="456"/>
      <c r="K9" s="460">
        <f>'N-1'!N41</f>
        <v>28809160</v>
      </c>
      <c r="L9" s="456"/>
      <c r="M9" s="460">
        <f>'N-1'!N56</f>
        <v>24675633</v>
      </c>
      <c r="N9" s="456"/>
      <c r="O9" s="460">
        <f>'N-1'!N69</f>
        <v>6472572</v>
      </c>
      <c r="P9" s="456"/>
      <c r="Q9" s="460">
        <f>E9+G9+I9+K9+M9+O9</f>
        <v>93457603</v>
      </c>
      <c r="R9" s="456"/>
      <c r="S9" s="460">
        <v>101515411</v>
      </c>
      <c r="T9" s="457"/>
    </row>
    <row r="10" spans="2:20" ht="12.75" customHeight="1">
      <c r="B10" s="458" t="s">
        <v>58</v>
      </c>
      <c r="C10" s="459" t="s">
        <v>17</v>
      </c>
      <c r="D10" s="454"/>
      <c r="E10" s="461">
        <f>'N-2'!C10</f>
        <v>0</v>
      </c>
      <c r="F10" s="456"/>
      <c r="G10" s="461">
        <f>'N-2'!E10</f>
        <v>0</v>
      </c>
      <c r="H10" s="456"/>
      <c r="I10" s="461">
        <f>'N-2'!G10</f>
        <v>0</v>
      </c>
      <c r="J10" s="456"/>
      <c r="K10" s="461">
        <f>'N-2'!I10</f>
        <v>0</v>
      </c>
      <c r="L10" s="456"/>
      <c r="M10" s="461">
        <f>'N-2'!K10</f>
        <v>3928244</v>
      </c>
      <c r="N10" s="456"/>
      <c r="O10" s="461">
        <f>'N-2'!M10</f>
        <v>13431787</v>
      </c>
      <c r="P10" s="456"/>
      <c r="Q10" s="461">
        <f>E10+G10+I10+K10+M10+O10</f>
        <v>17360031</v>
      </c>
      <c r="R10" s="456"/>
      <c r="S10" s="461">
        <v>18360031</v>
      </c>
      <c r="T10" s="457"/>
    </row>
    <row r="11" spans="2:20" ht="12.75" customHeight="1">
      <c r="B11" s="458"/>
      <c r="C11" s="453"/>
      <c r="D11" s="454"/>
      <c r="E11" s="462"/>
      <c r="F11" s="456"/>
      <c r="G11" s="462"/>
      <c r="H11" s="456"/>
      <c r="I11" s="462"/>
      <c r="J11" s="456"/>
      <c r="K11" s="462"/>
      <c r="L11" s="456"/>
      <c r="M11" s="462"/>
      <c r="N11" s="456"/>
      <c r="O11" s="462"/>
      <c r="P11" s="456"/>
      <c r="Q11" s="462"/>
      <c r="R11" s="456"/>
      <c r="S11" s="462"/>
      <c r="T11" s="457"/>
    </row>
    <row r="12" spans="2:20" ht="12.75" customHeight="1">
      <c r="B12" s="452" t="s">
        <v>14</v>
      </c>
      <c r="C12" s="453"/>
      <c r="D12" s="454"/>
      <c r="E12" s="455">
        <f>SUM(E13:E17)</f>
        <v>110346172</v>
      </c>
      <c r="F12" s="455">
        <f aca="true" t="shared" si="0" ref="F12:S12">SUM(F13:F17)</f>
        <v>0</v>
      </c>
      <c r="G12" s="455">
        <f t="shared" si="0"/>
        <v>76919158</v>
      </c>
      <c r="H12" s="455">
        <f t="shared" si="0"/>
        <v>0</v>
      </c>
      <c r="I12" s="455">
        <f t="shared" si="0"/>
        <v>73076896</v>
      </c>
      <c r="J12" s="455">
        <f t="shared" si="0"/>
        <v>0</v>
      </c>
      <c r="K12" s="455">
        <f t="shared" si="0"/>
        <v>98530691</v>
      </c>
      <c r="L12" s="455">
        <f t="shared" si="0"/>
        <v>0</v>
      </c>
      <c r="M12" s="455">
        <f t="shared" si="0"/>
        <v>45096795</v>
      </c>
      <c r="N12" s="455">
        <f t="shared" si="0"/>
        <v>0</v>
      </c>
      <c r="O12" s="455">
        <f t="shared" si="0"/>
        <v>23749062</v>
      </c>
      <c r="P12" s="455">
        <f t="shared" si="0"/>
        <v>0</v>
      </c>
      <c r="Q12" s="455">
        <f t="shared" si="0"/>
        <v>427718774</v>
      </c>
      <c r="R12" s="455">
        <f t="shared" si="0"/>
        <v>0</v>
      </c>
      <c r="S12" s="455">
        <f t="shared" si="0"/>
        <v>442331096</v>
      </c>
      <c r="T12" s="457"/>
    </row>
    <row r="13" spans="2:20" ht="12.75" customHeight="1">
      <c r="B13" s="463" t="s">
        <v>59</v>
      </c>
      <c r="C13" s="459" t="s">
        <v>18</v>
      </c>
      <c r="D13" s="454"/>
      <c r="E13" s="460">
        <f>'N-2'!C23</f>
        <v>0</v>
      </c>
      <c r="F13" s="462"/>
      <c r="G13" s="460">
        <f>'N-2'!E23</f>
        <v>13653568</v>
      </c>
      <c r="H13" s="462"/>
      <c r="I13" s="460">
        <f>'N-2'!G23</f>
        <v>25053115</v>
      </c>
      <c r="J13" s="462"/>
      <c r="K13" s="460">
        <f>'N-2'!I23</f>
        <v>45459526</v>
      </c>
      <c r="L13" s="462"/>
      <c r="M13" s="460">
        <f>'N-2'!K23</f>
        <v>10936219</v>
      </c>
      <c r="N13" s="462"/>
      <c r="O13" s="460">
        <f>'N-2'!M23</f>
        <v>15632881</v>
      </c>
      <c r="P13" s="456"/>
      <c r="Q13" s="460">
        <f>E13+G13+I13+K13+M13+O13</f>
        <v>110735309</v>
      </c>
      <c r="R13" s="464"/>
      <c r="S13" s="460">
        <v>115158046</v>
      </c>
      <c r="T13" s="457"/>
    </row>
    <row r="14" spans="2:20" ht="12.75" customHeight="1">
      <c r="B14" s="463" t="s">
        <v>193</v>
      </c>
      <c r="C14" s="453"/>
      <c r="D14" s="454"/>
      <c r="E14" s="465">
        <v>110346172</v>
      </c>
      <c r="F14" s="462"/>
      <c r="G14" s="465">
        <f>48323316+2574932</f>
        <v>50898248</v>
      </c>
      <c r="H14" s="462"/>
      <c r="I14" s="465">
        <v>26635336</v>
      </c>
      <c r="J14" s="462"/>
      <c r="K14" s="465">
        <v>0</v>
      </c>
      <c r="L14" s="462"/>
      <c r="M14" s="465">
        <v>0</v>
      </c>
      <c r="N14" s="462"/>
      <c r="O14" s="465">
        <v>0</v>
      </c>
      <c r="P14" s="456"/>
      <c r="Q14" s="465">
        <f>E14+G14+I14+K14+M14+O14</f>
        <v>187879756</v>
      </c>
      <c r="R14" s="464"/>
      <c r="S14" s="465">
        <v>188024053</v>
      </c>
      <c r="T14" s="457"/>
    </row>
    <row r="15" spans="2:20" ht="12.75" customHeight="1">
      <c r="B15" s="463" t="s">
        <v>60</v>
      </c>
      <c r="C15" s="459" t="s">
        <v>19</v>
      </c>
      <c r="D15" s="454"/>
      <c r="E15" s="465">
        <f>'N-2'!C82</f>
        <v>0</v>
      </c>
      <c r="F15" s="462"/>
      <c r="G15" s="465">
        <f>'N-2'!E82</f>
        <v>10537790</v>
      </c>
      <c r="H15" s="462"/>
      <c r="I15" s="465">
        <f>'N-2'!G82</f>
        <v>15038163</v>
      </c>
      <c r="J15" s="462"/>
      <c r="K15" s="465">
        <f>'N-2'!I82</f>
        <v>43182806</v>
      </c>
      <c r="L15" s="462"/>
      <c r="M15" s="465">
        <f>'N-2'!K82</f>
        <v>28012360</v>
      </c>
      <c r="N15" s="462"/>
      <c r="O15" s="465">
        <f>'N-2'!M82</f>
        <v>6007685</v>
      </c>
      <c r="P15" s="456"/>
      <c r="Q15" s="465">
        <f>E15+G15+I15+K15+M15+O15</f>
        <v>102778804</v>
      </c>
      <c r="R15" s="464"/>
      <c r="S15" s="465">
        <v>108287068</v>
      </c>
      <c r="T15" s="457"/>
    </row>
    <row r="16" spans="2:20" ht="12.75" customHeight="1">
      <c r="B16" s="463" t="s">
        <v>56</v>
      </c>
      <c r="C16" s="459" t="s">
        <v>214</v>
      </c>
      <c r="D16" s="454"/>
      <c r="E16" s="465">
        <f>'N-2'!C103</f>
        <v>0</v>
      </c>
      <c r="F16" s="462"/>
      <c r="G16" s="465">
        <f>'N-2'!E103</f>
        <v>1687350</v>
      </c>
      <c r="H16" s="462"/>
      <c r="I16" s="465">
        <f>'N-2'!G103</f>
        <v>5914003</v>
      </c>
      <c r="J16" s="462"/>
      <c r="K16" s="465">
        <f>'N-2'!I103</f>
        <v>9389900</v>
      </c>
      <c r="L16" s="462"/>
      <c r="M16" s="465">
        <f>'N-2'!K103</f>
        <v>6089592</v>
      </c>
      <c r="N16" s="462"/>
      <c r="O16" s="465">
        <f>'N-2'!M103</f>
        <v>1986833</v>
      </c>
      <c r="P16" s="456"/>
      <c r="Q16" s="465">
        <f>E16+G16+I16+K16+M16+O16</f>
        <v>25067678</v>
      </c>
      <c r="R16" s="464"/>
      <c r="S16" s="465">
        <v>27835021</v>
      </c>
      <c r="T16" s="457"/>
    </row>
    <row r="17" spans="2:20" ht="12.75" customHeight="1">
      <c r="B17" s="463" t="s">
        <v>192</v>
      </c>
      <c r="C17" s="459" t="s">
        <v>20</v>
      </c>
      <c r="D17" s="454"/>
      <c r="E17" s="461">
        <f>'N-2'!C132</f>
        <v>0</v>
      </c>
      <c r="F17" s="462"/>
      <c r="G17" s="461">
        <f>'N-2'!E132</f>
        <v>142202</v>
      </c>
      <c r="H17" s="462"/>
      <c r="I17" s="461">
        <f>'N-2'!G132</f>
        <v>436279</v>
      </c>
      <c r="J17" s="462"/>
      <c r="K17" s="461">
        <f>'N-2'!I132</f>
        <v>498459</v>
      </c>
      <c r="L17" s="462"/>
      <c r="M17" s="461">
        <f>'N-2'!K132</f>
        <v>58624</v>
      </c>
      <c r="N17" s="462"/>
      <c r="O17" s="461">
        <f>'N-2'!M132</f>
        <v>121663</v>
      </c>
      <c r="P17" s="456"/>
      <c r="Q17" s="461">
        <f>E17+G17+I17+K17+M17+O17</f>
        <v>1257227</v>
      </c>
      <c r="R17" s="464"/>
      <c r="S17" s="461">
        <v>3026908</v>
      </c>
      <c r="T17" s="457"/>
    </row>
    <row r="18" spans="2:20" ht="12.75" customHeight="1">
      <c r="B18" s="458"/>
      <c r="C18" s="466"/>
      <c r="D18" s="441"/>
      <c r="E18" s="467"/>
      <c r="F18" s="467"/>
      <c r="G18" s="467"/>
      <c r="H18" s="467"/>
      <c r="I18" s="467"/>
      <c r="J18" s="467"/>
      <c r="K18" s="467"/>
      <c r="L18" s="467"/>
      <c r="M18" s="467"/>
      <c r="N18" s="467"/>
      <c r="O18" s="467"/>
      <c r="P18" s="468"/>
      <c r="Q18" s="467"/>
      <c r="R18" s="468"/>
      <c r="S18" s="467"/>
      <c r="T18" s="469"/>
    </row>
    <row r="19" spans="2:20" ht="12.75" customHeight="1">
      <c r="B19" s="470" t="s">
        <v>71</v>
      </c>
      <c r="C19" s="471"/>
      <c r="D19" s="454"/>
      <c r="E19" s="472">
        <f aca="true" t="shared" si="1" ref="E19:S19">E8+E12</f>
        <v>133232390</v>
      </c>
      <c r="F19" s="473">
        <f t="shared" si="1"/>
        <v>0</v>
      </c>
      <c r="G19" s="472">
        <f t="shared" si="1"/>
        <v>79109850</v>
      </c>
      <c r="H19" s="455">
        <f t="shared" si="1"/>
        <v>0</v>
      </c>
      <c r="I19" s="472">
        <f t="shared" si="1"/>
        <v>81500224</v>
      </c>
      <c r="J19" s="455">
        <f t="shared" si="1"/>
        <v>0</v>
      </c>
      <c r="K19" s="472">
        <f t="shared" si="1"/>
        <v>127339851</v>
      </c>
      <c r="L19" s="455">
        <f t="shared" si="1"/>
        <v>0</v>
      </c>
      <c r="M19" s="472">
        <f t="shared" si="1"/>
        <v>73700672</v>
      </c>
      <c r="N19" s="455">
        <f t="shared" si="1"/>
        <v>0</v>
      </c>
      <c r="O19" s="472">
        <f t="shared" si="1"/>
        <v>43653421</v>
      </c>
      <c r="P19" s="455">
        <f t="shared" si="1"/>
        <v>0</v>
      </c>
      <c r="Q19" s="472">
        <f t="shared" si="1"/>
        <v>538536408</v>
      </c>
      <c r="R19" s="455">
        <f t="shared" si="1"/>
        <v>0</v>
      </c>
      <c r="S19" s="472">
        <f t="shared" si="1"/>
        <v>562206538</v>
      </c>
      <c r="T19" s="474"/>
    </row>
    <row r="20" spans="2:20" ht="12.75" customHeight="1">
      <c r="B20" s="458"/>
      <c r="C20" s="437"/>
      <c r="D20" s="449"/>
      <c r="E20" s="450"/>
      <c r="F20" s="451"/>
      <c r="G20" s="450"/>
      <c r="H20" s="451"/>
      <c r="I20" s="450"/>
      <c r="J20" s="451"/>
      <c r="K20" s="450"/>
      <c r="L20" s="451"/>
      <c r="M20" s="450"/>
      <c r="N20" s="451"/>
      <c r="O20" s="450"/>
      <c r="P20" s="451"/>
      <c r="Q20" s="450"/>
      <c r="R20" s="451"/>
      <c r="S20" s="450"/>
      <c r="T20" s="474"/>
    </row>
    <row r="21" spans="2:20" ht="12.75" customHeight="1">
      <c r="B21" s="452" t="s">
        <v>70</v>
      </c>
      <c r="C21" s="453"/>
      <c r="D21" s="454"/>
      <c r="E21" s="462"/>
      <c r="F21" s="456"/>
      <c r="G21" s="462"/>
      <c r="H21" s="456"/>
      <c r="I21" s="462"/>
      <c r="J21" s="456"/>
      <c r="K21" s="462"/>
      <c r="L21" s="456"/>
      <c r="M21" s="462"/>
      <c r="N21" s="456"/>
      <c r="O21" s="462"/>
      <c r="P21" s="456"/>
      <c r="Q21" s="462"/>
      <c r="R21" s="456"/>
      <c r="S21" s="462"/>
      <c r="T21" s="457"/>
    </row>
    <row r="22" spans="2:20" ht="12.75" customHeight="1">
      <c r="B22" s="458"/>
      <c r="C22" s="453"/>
      <c r="D22" s="454"/>
      <c r="E22" s="462"/>
      <c r="F22" s="456"/>
      <c r="G22" s="462"/>
      <c r="H22" s="456"/>
      <c r="I22" s="462"/>
      <c r="J22" s="456"/>
      <c r="K22" s="462"/>
      <c r="L22" s="456"/>
      <c r="M22" s="462"/>
      <c r="N22" s="456"/>
      <c r="O22" s="462"/>
      <c r="P22" s="456"/>
      <c r="Q22" s="462"/>
      <c r="R22" s="456"/>
      <c r="S22" s="462"/>
      <c r="T22" s="457"/>
    </row>
    <row r="23" spans="2:20" ht="12.75" customHeight="1">
      <c r="B23" s="475" t="s">
        <v>26</v>
      </c>
      <c r="C23" s="453"/>
      <c r="D23" s="454"/>
      <c r="E23" s="455">
        <f>SUM(E24:E27)</f>
        <v>135227474</v>
      </c>
      <c r="F23" s="455">
        <f aca="true" t="shared" si="2" ref="F23:S23">SUM(F24:F27)</f>
        <v>0</v>
      </c>
      <c r="G23" s="455">
        <f t="shared" si="2"/>
        <v>-39664848</v>
      </c>
      <c r="H23" s="455">
        <f t="shared" si="2"/>
        <v>0</v>
      </c>
      <c r="I23" s="455">
        <f t="shared" si="2"/>
        <v>-41957541</v>
      </c>
      <c r="J23" s="455">
        <f t="shared" si="2"/>
        <v>0</v>
      </c>
      <c r="K23" s="455">
        <f t="shared" si="2"/>
        <v>-78758475</v>
      </c>
      <c r="L23" s="455">
        <f t="shared" si="2"/>
        <v>0</v>
      </c>
      <c r="M23" s="455">
        <f t="shared" si="2"/>
        <v>-146770478</v>
      </c>
      <c r="N23" s="455">
        <f t="shared" si="2"/>
        <v>0</v>
      </c>
      <c r="O23" s="455">
        <f t="shared" si="2"/>
        <v>-83568445</v>
      </c>
      <c r="P23" s="455">
        <f t="shared" si="2"/>
        <v>0</v>
      </c>
      <c r="Q23" s="455">
        <f t="shared" si="2"/>
        <v>-255492313</v>
      </c>
      <c r="R23" s="455">
        <f t="shared" si="2"/>
        <v>0</v>
      </c>
      <c r="S23" s="455">
        <f t="shared" si="2"/>
        <v>-246717048</v>
      </c>
      <c r="T23" s="457"/>
    </row>
    <row r="24" spans="2:20" ht="12.75" customHeight="1">
      <c r="B24" s="463" t="s">
        <v>52</v>
      </c>
      <c r="C24" s="459" t="s">
        <v>21</v>
      </c>
      <c r="D24" s="454"/>
      <c r="E24" s="460">
        <v>36125000</v>
      </c>
      <c r="F24" s="454"/>
      <c r="G24" s="460">
        <v>7375000</v>
      </c>
      <c r="H24" s="454"/>
      <c r="I24" s="460">
        <v>5000000</v>
      </c>
      <c r="J24" s="454"/>
      <c r="K24" s="460">
        <v>0</v>
      </c>
      <c r="L24" s="454"/>
      <c r="M24" s="460">
        <v>0</v>
      </c>
      <c r="N24" s="454"/>
      <c r="O24" s="460">
        <v>0</v>
      </c>
      <c r="P24" s="454"/>
      <c r="Q24" s="460">
        <f>E24+G24+I24+K24+M24+O24</f>
        <v>48500000</v>
      </c>
      <c r="R24" s="454"/>
      <c r="S24" s="460">
        <v>48500000</v>
      </c>
      <c r="T24" s="457"/>
    </row>
    <row r="25" spans="2:20" ht="12.75" customHeight="1">
      <c r="B25" s="463" t="s">
        <v>24</v>
      </c>
      <c r="C25" s="459" t="s">
        <v>22</v>
      </c>
      <c r="D25" s="454"/>
      <c r="E25" s="465">
        <v>79475000</v>
      </c>
      <c r="F25" s="454"/>
      <c r="G25" s="465">
        <v>16225000</v>
      </c>
      <c r="H25" s="454"/>
      <c r="I25" s="465">
        <v>11000000</v>
      </c>
      <c r="J25" s="454"/>
      <c r="K25" s="465">
        <v>0</v>
      </c>
      <c r="L25" s="454"/>
      <c r="M25" s="465">
        <v>0</v>
      </c>
      <c r="N25" s="454"/>
      <c r="O25" s="465">
        <v>0</v>
      </c>
      <c r="P25" s="454"/>
      <c r="Q25" s="465">
        <f>E25+G25+I25+K25+M25+O25</f>
        <v>106700000</v>
      </c>
      <c r="R25" s="454"/>
      <c r="S25" s="465">
        <v>106700000</v>
      </c>
      <c r="T25" s="457"/>
    </row>
    <row r="26" spans="2:20" ht="12.75" customHeight="1">
      <c r="B26" s="463" t="s">
        <v>66</v>
      </c>
      <c r="C26" s="453">
        <v>10</v>
      </c>
      <c r="D26" s="454"/>
      <c r="E26" s="465">
        <f>'N-4'!C16</f>
        <v>17967329</v>
      </c>
      <c r="F26" s="454"/>
      <c r="G26" s="465">
        <f>'N-4'!E16</f>
        <v>5203517</v>
      </c>
      <c r="H26" s="454"/>
      <c r="I26" s="465">
        <f>'N-4'!G16</f>
        <v>15128243</v>
      </c>
      <c r="J26" s="454"/>
      <c r="K26" s="465">
        <f>'N-4'!I16</f>
        <v>19915532</v>
      </c>
      <c r="L26" s="454"/>
      <c r="M26" s="465">
        <f>'N-4'!K16</f>
        <v>4626790</v>
      </c>
      <c r="N26" s="454"/>
      <c r="O26" s="465">
        <f>'N-4'!M16</f>
        <v>0</v>
      </c>
      <c r="P26" s="454"/>
      <c r="Q26" s="465">
        <f>E26+G26+I26+K26+M26+O26</f>
        <v>62841411</v>
      </c>
      <c r="R26" s="454"/>
      <c r="S26" s="465">
        <v>65652502</v>
      </c>
      <c r="T26" s="457"/>
    </row>
    <row r="27" spans="2:20" ht="12.75" customHeight="1">
      <c r="B27" s="463" t="s">
        <v>53</v>
      </c>
      <c r="C27" s="453">
        <v>11</v>
      </c>
      <c r="D27" s="454"/>
      <c r="E27" s="461">
        <f>'N-4'!C40</f>
        <v>1660145</v>
      </c>
      <c r="F27" s="454"/>
      <c r="G27" s="461">
        <f>'N-4'!E40</f>
        <v>-68468365</v>
      </c>
      <c r="H27" s="454"/>
      <c r="I27" s="461">
        <f>'N-4'!G40</f>
        <v>-73085784</v>
      </c>
      <c r="J27" s="454"/>
      <c r="K27" s="461">
        <f>'N-4'!I40</f>
        <v>-98674007</v>
      </c>
      <c r="L27" s="454"/>
      <c r="M27" s="461">
        <f>'N-4'!K40</f>
        <v>-151397268</v>
      </c>
      <c r="N27" s="454"/>
      <c r="O27" s="461">
        <f>'N-4'!M40</f>
        <v>-83568445</v>
      </c>
      <c r="P27" s="454"/>
      <c r="Q27" s="461">
        <f>E27+G27+I27+K27+M27+O27</f>
        <v>-473533724</v>
      </c>
      <c r="R27" s="454"/>
      <c r="S27" s="461">
        <v>-467569550</v>
      </c>
      <c r="T27" s="457"/>
    </row>
    <row r="28" spans="2:20" ht="12.75" customHeight="1">
      <c r="B28" s="463"/>
      <c r="C28" s="453"/>
      <c r="D28" s="454"/>
      <c r="E28" s="462"/>
      <c r="F28" s="456"/>
      <c r="G28" s="462"/>
      <c r="H28" s="456"/>
      <c r="I28" s="462"/>
      <c r="J28" s="456"/>
      <c r="K28" s="462"/>
      <c r="L28" s="456"/>
      <c r="M28" s="462"/>
      <c r="N28" s="456"/>
      <c r="O28" s="462"/>
      <c r="P28" s="456"/>
      <c r="Q28" s="462"/>
      <c r="R28" s="456"/>
      <c r="S28" s="462"/>
      <c r="T28" s="457"/>
    </row>
    <row r="29" spans="2:20" ht="12.75" customHeight="1">
      <c r="B29" s="475" t="s">
        <v>68</v>
      </c>
      <c r="C29" s="453"/>
      <c r="D29" s="454"/>
      <c r="E29" s="455">
        <f>SUM(E30:E31)</f>
        <v>-1481119</v>
      </c>
      <c r="F29" s="456"/>
      <c r="G29" s="455">
        <f>SUM(G30:G31)</f>
        <v>34777700</v>
      </c>
      <c r="H29" s="456"/>
      <c r="I29" s="455">
        <f>SUM(I30:I31)</f>
        <v>32312375</v>
      </c>
      <c r="J29" s="456"/>
      <c r="K29" s="455">
        <f>SUM(K30:K31)</f>
        <v>38402538</v>
      </c>
      <c r="L29" s="456"/>
      <c r="M29" s="455">
        <f>SUM(M30:M31)</f>
        <v>9395375</v>
      </c>
      <c r="N29" s="456"/>
      <c r="O29" s="455">
        <f>SUM(O30:O31)</f>
        <v>60358221</v>
      </c>
      <c r="P29" s="456"/>
      <c r="Q29" s="455">
        <f>SUM(Q30:Q31)</f>
        <v>173765090</v>
      </c>
      <c r="R29" s="456"/>
      <c r="S29" s="455">
        <v>189024694</v>
      </c>
      <c r="T29" s="457"/>
    </row>
    <row r="30" spans="2:20" ht="12.75" customHeight="1">
      <c r="B30" s="463" t="s">
        <v>366</v>
      </c>
      <c r="C30" s="453">
        <v>12</v>
      </c>
      <c r="D30" s="454"/>
      <c r="E30" s="460">
        <v>0</v>
      </c>
      <c r="F30" s="454"/>
      <c r="G30" s="460">
        <f>'N-4'!E58</f>
        <v>30049064</v>
      </c>
      <c r="H30" s="454"/>
      <c r="I30" s="460">
        <f>'N-4'!G58</f>
        <v>27887461</v>
      </c>
      <c r="J30" s="454"/>
      <c r="K30" s="460">
        <f>'N-4'!I58</f>
        <v>32206505</v>
      </c>
      <c r="L30" s="454"/>
      <c r="M30" s="460">
        <f>'N-4'!K58</f>
        <v>450120</v>
      </c>
      <c r="N30" s="454"/>
      <c r="O30" s="460">
        <f>'N-4'!M58</f>
        <v>55149480</v>
      </c>
      <c r="P30" s="454"/>
      <c r="Q30" s="460">
        <f>E30+G30+I30+K30+M30+O30</f>
        <v>145742630</v>
      </c>
      <c r="R30" s="454"/>
      <c r="S30" s="460">
        <v>159167458</v>
      </c>
      <c r="T30" s="457"/>
    </row>
    <row r="31" spans="2:20" ht="12.75" customHeight="1">
      <c r="B31" s="476" t="s">
        <v>501</v>
      </c>
      <c r="C31" s="453">
        <v>13</v>
      </c>
      <c r="D31" s="454"/>
      <c r="E31" s="461">
        <f>'N-4'!C77</f>
        <v>-1481119</v>
      </c>
      <c r="F31" s="454"/>
      <c r="G31" s="461">
        <f>'N-4'!E77</f>
        <v>4728636</v>
      </c>
      <c r="H31" s="454"/>
      <c r="I31" s="461">
        <f>'N-4'!G77</f>
        <v>4424914</v>
      </c>
      <c r="J31" s="454"/>
      <c r="K31" s="461">
        <f>'N-4'!I77</f>
        <v>6196033</v>
      </c>
      <c r="L31" s="454"/>
      <c r="M31" s="461">
        <f>'N-4'!K77</f>
        <v>8945255</v>
      </c>
      <c r="N31" s="454"/>
      <c r="O31" s="461">
        <f>'N-4'!M77</f>
        <v>5208741</v>
      </c>
      <c r="P31" s="454"/>
      <c r="Q31" s="461">
        <f>'N-4'!O77</f>
        <v>28022460</v>
      </c>
      <c r="R31" s="454"/>
      <c r="S31" s="461">
        <v>29857236</v>
      </c>
      <c r="T31" s="457"/>
    </row>
    <row r="32" spans="2:20" ht="12.75" customHeight="1">
      <c r="B32" s="476"/>
      <c r="C32" s="453"/>
      <c r="D32" s="454"/>
      <c r="E32" s="462"/>
      <c r="F32" s="456"/>
      <c r="G32" s="462"/>
      <c r="H32" s="456"/>
      <c r="I32" s="462"/>
      <c r="J32" s="456"/>
      <c r="K32" s="462"/>
      <c r="L32" s="456"/>
      <c r="M32" s="462"/>
      <c r="N32" s="456"/>
      <c r="O32" s="462"/>
      <c r="P32" s="456"/>
      <c r="Q32" s="462"/>
      <c r="R32" s="456"/>
      <c r="S32" s="462"/>
      <c r="T32" s="457"/>
    </row>
    <row r="33" spans="2:20" ht="12.75" customHeight="1">
      <c r="B33" s="452" t="s">
        <v>15</v>
      </c>
      <c r="C33" s="453"/>
      <c r="D33" s="454"/>
      <c r="E33" s="455">
        <f>SUM(E34:E40)</f>
        <v>-513965</v>
      </c>
      <c r="F33" s="456"/>
      <c r="G33" s="455">
        <f>SUM(G34:G40)</f>
        <v>83996998</v>
      </c>
      <c r="H33" s="456"/>
      <c r="I33" s="455">
        <f>SUM(I34:I40)</f>
        <v>91145390</v>
      </c>
      <c r="J33" s="456"/>
      <c r="K33" s="455">
        <f>SUM(K34:K40)</f>
        <v>167695788</v>
      </c>
      <c r="L33" s="456"/>
      <c r="M33" s="455">
        <f>SUM(M34:M40)</f>
        <v>211075775</v>
      </c>
      <c r="N33" s="456"/>
      <c r="O33" s="455">
        <f>SUM(O34:O40)</f>
        <v>66863645</v>
      </c>
      <c r="P33" s="456"/>
      <c r="Q33" s="455">
        <f>SUM(Q34:Q40)</f>
        <v>620263631</v>
      </c>
      <c r="R33" s="456"/>
      <c r="S33" s="455">
        <v>619898892</v>
      </c>
      <c r="T33" s="457"/>
    </row>
    <row r="34" spans="2:20" ht="12.75" customHeight="1">
      <c r="B34" s="458" t="s">
        <v>64</v>
      </c>
      <c r="C34" s="453">
        <v>14</v>
      </c>
      <c r="D34" s="454"/>
      <c r="E34" s="460">
        <v>0</v>
      </c>
      <c r="F34" s="454"/>
      <c r="G34" s="460">
        <v>69819803</v>
      </c>
      <c r="H34" s="454"/>
      <c r="I34" s="460">
        <v>72545326</v>
      </c>
      <c r="J34" s="454"/>
      <c r="K34" s="460">
        <v>101719128</v>
      </c>
      <c r="L34" s="454"/>
      <c r="M34" s="460">
        <v>115450768</v>
      </c>
      <c r="N34" s="454"/>
      <c r="O34" s="460">
        <v>0</v>
      </c>
      <c r="P34" s="454"/>
      <c r="Q34" s="460">
        <f aca="true" t="shared" si="3" ref="Q34:Q40">E34+G34+I34+K34+M34+O34</f>
        <v>359535025</v>
      </c>
      <c r="R34" s="456"/>
      <c r="S34" s="460">
        <v>359535025</v>
      </c>
      <c r="T34" s="457"/>
    </row>
    <row r="35" spans="2:22" ht="12.75" customHeight="1">
      <c r="B35" s="458" t="s">
        <v>193</v>
      </c>
      <c r="C35" s="453"/>
      <c r="D35" s="454"/>
      <c r="E35" s="465">
        <v>0</v>
      </c>
      <c r="F35" s="454"/>
      <c r="G35" s="465">
        <v>0</v>
      </c>
      <c r="H35" s="454"/>
      <c r="I35" s="465">
        <v>0</v>
      </c>
      <c r="J35" s="454"/>
      <c r="K35" s="465">
        <v>30393940</v>
      </c>
      <c r="L35" s="454"/>
      <c r="M35" s="465">
        <f>90206265+2574932</f>
        <v>92781197</v>
      </c>
      <c r="N35" s="454"/>
      <c r="O35" s="465">
        <v>64704619</v>
      </c>
      <c r="P35" s="454"/>
      <c r="Q35" s="465">
        <f t="shared" si="3"/>
        <v>187879756</v>
      </c>
      <c r="R35" s="456"/>
      <c r="S35" s="465">
        <v>188024053</v>
      </c>
      <c r="T35" s="457"/>
      <c r="V35" s="477">
        <f>Q19-Q29-Q33</f>
        <v>-255492313</v>
      </c>
    </row>
    <row r="36" spans="2:20" ht="12.75" customHeight="1">
      <c r="B36" s="458" t="s">
        <v>61</v>
      </c>
      <c r="C36" s="453">
        <v>15</v>
      </c>
      <c r="D36" s="454"/>
      <c r="E36" s="465">
        <v>0</v>
      </c>
      <c r="F36" s="454"/>
      <c r="G36" s="465">
        <f>10234030+502135</f>
        <v>10736165</v>
      </c>
      <c r="H36" s="454"/>
      <c r="I36" s="465">
        <f>15488850+1502354</f>
        <v>16991204</v>
      </c>
      <c r="J36" s="454"/>
      <c r="K36" s="465">
        <f>30737691+550000</f>
        <v>31287691</v>
      </c>
      <c r="L36" s="454"/>
      <c r="M36" s="465">
        <f>2933925+25000</f>
        <v>2958925</v>
      </c>
      <c r="N36" s="454"/>
      <c r="O36" s="465">
        <f>1962763+29879</f>
        <v>1992642</v>
      </c>
      <c r="P36" s="454"/>
      <c r="Q36" s="465">
        <f>'BS'!G31</f>
        <v>63966627</v>
      </c>
      <c r="R36" s="456"/>
      <c r="S36" s="465">
        <v>61357259</v>
      </c>
      <c r="T36" s="457"/>
    </row>
    <row r="37" spans="2:22" ht="12.75" customHeight="1">
      <c r="B37" s="458" t="s">
        <v>65</v>
      </c>
      <c r="C37" s="453">
        <v>16</v>
      </c>
      <c r="D37" s="454"/>
      <c r="E37" s="465">
        <f>'N-4'!C113</f>
        <v>0</v>
      </c>
      <c r="F37" s="454"/>
      <c r="G37" s="465">
        <f>'N-4'!E113</f>
        <v>293334</v>
      </c>
      <c r="H37" s="454"/>
      <c r="I37" s="465">
        <f>'N-4'!G113</f>
        <v>575148</v>
      </c>
      <c r="J37" s="454"/>
      <c r="K37" s="465">
        <f>'N-4'!I113</f>
        <v>1444611</v>
      </c>
      <c r="L37" s="454"/>
      <c r="M37" s="465">
        <f>'N-4'!K113</f>
        <v>5029</v>
      </c>
      <c r="N37" s="454"/>
      <c r="O37" s="465">
        <f>'N-4'!M113</f>
        <v>88942</v>
      </c>
      <c r="P37" s="454"/>
      <c r="Q37" s="465">
        <f t="shared" si="3"/>
        <v>2407064</v>
      </c>
      <c r="R37" s="456"/>
      <c r="S37" s="465">
        <v>3090561</v>
      </c>
      <c r="T37" s="457"/>
      <c r="V37" s="432">
        <f>'N-5'!G144</f>
        <v>4850000</v>
      </c>
    </row>
    <row r="38" spans="2:22" ht="12.75" customHeight="1">
      <c r="B38" s="463" t="s">
        <v>67</v>
      </c>
      <c r="C38" s="453"/>
      <c r="D38" s="454"/>
      <c r="E38" s="465">
        <v>0</v>
      </c>
      <c r="F38" s="454"/>
      <c r="G38" s="465">
        <v>295813</v>
      </c>
      <c r="H38" s="454"/>
      <c r="I38" s="465">
        <v>330246</v>
      </c>
      <c r="J38" s="454"/>
      <c r="K38" s="465">
        <v>232743</v>
      </c>
      <c r="L38" s="454"/>
      <c r="M38" s="465">
        <v>150426</v>
      </c>
      <c r="N38" s="454"/>
      <c r="O38" s="465">
        <v>82641</v>
      </c>
      <c r="P38" s="454"/>
      <c r="Q38" s="465">
        <f t="shared" si="3"/>
        <v>1091869</v>
      </c>
      <c r="R38" s="456"/>
      <c r="S38" s="465">
        <v>1091869</v>
      </c>
      <c r="T38" s="457"/>
      <c r="V38" s="478">
        <f>V35/V37</f>
        <v>-52.67882742268041</v>
      </c>
    </row>
    <row r="39" spans="2:20" ht="12.75" customHeight="1">
      <c r="B39" s="458" t="s">
        <v>62</v>
      </c>
      <c r="C39" s="453">
        <v>17</v>
      </c>
      <c r="D39" s="454"/>
      <c r="E39" s="465">
        <f>'N-4'!C126</f>
        <v>-513965</v>
      </c>
      <c r="F39" s="454"/>
      <c r="G39" s="465">
        <f>'N-4'!E126</f>
        <v>2517933</v>
      </c>
      <c r="H39" s="454"/>
      <c r="I39" s="465">
        <f>'N-4'!G126</f>
        <v>426960</v>
      </c>
      <c r="J39" s="454"/>
      <c r="K39" s="465">
        <f>'N-4'!I126</f>
        <v>2577550</v>
      </c>
      <c r="L39" s="454"/>
      <c r="M39" s="465">
        <f>'N-4'!K126</f>
        <v>-270570</v>
      </c>
      <c r="N39" s="454"/>
      <c r="O39" s="465">
        <f>'N-4'!M126</f>
        <v>-5199</v>
      </c>
      <c r="P39" s="454"/>
      <c r="Q39" s="465">
        <f t="shared" si="3"/>
        <v>4732709</v>
      </c>
      <c r="R39" s="456"/>
      <c r="S39" s="465">
        <v>6149544</v>
      </c>
      <c r="T39" s="457"/>
    </row>
    <row r="40" spans="2:20" ht="12.75" customHeight="1">
      <c r="B40" s="458" t="s">
        <v>63</v>
      </c>
      <c r="C40" s="453"/>
      <c r="D40" s="454"/>
      <c r="E40" s="461">
        <v>0</v>
      </c>
      <c r="F40" s="454"/>
      <c r="G40" s="461">
        <v>333950</v>
      </c>
      <c r="H40" s="454"/>
      <c r="I40" s="461">
        <v>276506</v>
      </c>
      <c r="J40" s="454"/>
      <c r="K40" s="461">
        <v>40125</v>
      </c>
      <c r="L40" s="454"/>
      <c r="M40" s="461">
        <v>0</v>
      </c>
      <c r="N40" s="454"/>
      <c r="O40" s="461">
        <v>0</v>
      </c>
      <c r="P40" s="454"/>
      <c r="Q40" s="461">
        <f t="shared" si="3"/>
        <v>650581</v>
      </c>
      <c r="R40" s="456"/>
      <c r="S40" s="461">
        <v>650581</v>
      </c>
      <c r="T40" s="457"/>
    </row>
    <row r="41" spans="2:20" ht="12.75" customHeight="1">
      <c r="B41" s="439"/>
      <c r="C41" s="453"/>
      <c r="D41" s="454"/>
      <c r="E41" s="462"/>
      <c r="F41" s="456"/>
      <c r="G41" s="462"/>
      <c r="H41" s="456"/>
      <c r="I41" s="462"/>
      <c r="J41" s="456"/>
      <c r="K41" s="462"/>
      <c r="L41" s="456"/>
      <c r="M41" s="462"/>
      <c r="N41" s="456"/>
      <c r="O41" s="462"/>
      <c r="P41" s="456"/>
      <c r="Q41" s="462"/>
      <c r="R41" s="456"/>
      <c r="S41" s="462"/>
      <c r="T41" s="457"/>
    </row>
    <row r="42" spans="2:20" ht="12.75" customHeight="1">
      <c r="B42" s="479" t="s">
        <v>72</v>
      </c>
      <c r="C42" s="480"/>
      <c r="D42" s="449"/>
      <c r="E42" s="481">
        <f aca="true" t="shared" si="4" ref="E42:S42">E23+E29+E33</f>
        <v>133232390</v>
      </c>
      <c r="F42" s="482">
        <f t="shared" si="4"/>
        <v>0</v>
      </c>
      <c r="G42" s="473">
        <f t="shared" si="4"/>
        <v>79109850</v>
      </c>
      <c r="H42" s="483">
        <f t="shared" si="4"/>
        <v>0</v>
      </c>
      <c r="I42" s="481">
        <f t="shared" si="4"/>
        <v>81500224</v>
      </c>
      <c r="J42" s="483">
        <f t="shared" si="4"/>
        <v>0</v>
      </c>
      <c r="K42" s="481">
        <f t="shared" si="4"/>
        <v>127339851</v>
      </c>
      <c r="L42" s="483">
        <f t="shared" si="4"/>
        <v>0</v>
      </c>
      <c r="M42" s="481">
        <f t="shared" si="4"/>
        <v>73700672</v>
      </c>
      <c r="N42" s="483">
        <f t="shared" si="4"/>
        <v>0</v>
      </c>
      <c r="O42" s="481">
        <f t="shared" si="4"/>
        <v>43653421</v>
      </c>
      <c r="P42" s="483">
        <f t="shared" si="4"/>
        <v>0</v>
      </c>
      <c r="Q42" s="481">
        <f t="shared" si="4"/>
        <v>538536408</v>
      </c>
      <c r="R42" s="483">
        <f t="shared" si="4"/>
        <v>0</v>
      </c>
      <c r="S42" s="481">
        <f t="shared" si="4"/>
        <v>562206538</v>
      </c>
      <c r="T42" s="484"/>
    </row>
    <row r="43" spans="2:20" ht="12.75" customHeight="1">
      <c r="B43" s="470" t="s">
        <v>358</v>
      </c>
      <c r="C43" s="485">
        <v>25</v>
      </c>
      <c r="D43" s="486"/>
      <c r="E43" s="487"/>
      <c r="F43" s="487"/>
      <c r="G43" s="488"/>
      <c r="H43" s="488"/>
      <c r="I43" s="489"/>
      <c r="J43" s="488" t="e">
        <f>J30*10/J31</f>
        <v>#DIV/0!</v>
      </c>
      <c r="K43" s="489"/>
      <c r="L43" s="489"/>
      <c r="M43" s="489"/>
      <c r="N43" s="489"/>
      <c r="O43" s="489"/>
      <c r="P43" s="489"/>
      <c r="Q43" s="490">
        <v>-52.68</v>
      </c>
      <c r="R43" s="491"/>
      <c r="S43" s="492"/>
      <c r="T43" s="493"/>
    </row>
    <row r="44" spans="2:3" ht="12.75" customHeight="1">
      <c r="B44" s="432" t="s">
        <v>33</v>
      </c>
      <c r="C44" s="432"/>
    </row>
    <row r="45" ht="12.75" customHeight="1">
      <c r="C45" s="432"/>
    </row>
    <row r="46" ht="12.75" customHeight="1">
      <c r="C46" s="432"/>
    </row>
    <row r="47" ht="12.75" customHeight="1">
      <c r="C47" s="432"/>
    </row>
    <row r="48" spans="2:18" ht="12.75" customHeight="1">
      <c r="B48" s="432" t="s">
        <v>613</v>
      </c>
      <c r="C48" s="432"/>
      <c r="E48" s="494" t="s">
        <v>332</v>
      </c>
      <c r="F48" s="494"/>
      <c r="H48" s="494"/>
      <c r="J48" s="494" t="s">
        <v>614</v>
      </c>
      <c r="L48" s="494"/>
      <c r="N48" s="494"/>
      <c r="P48" s="494" t="s">
        <v>615</v>
      </c>
      <c r="R48" s="494"/>
    </row>
    <row r="49" spans="2:16" ht="12.75" customHeight="1">
      <c r="B49" s="432" t="s">
        <v>283</v>
      </c>
      <c r="D49" s="496" t="s">
        <v>617</v>
      </c>
      <c r="E49" s="496"/>
      <c r="I49" s="497"/>
      <c r="J49" s="432" t="s">
        <v>616</v>
      </c>
      <c r="L49" s="494"/>
      <c r="O49" s="498"/>
      <c r="P49" s="432" t="s">
        <v>593</v>
      </c>
    </row>
    <row r="50" spans="4:15" ht="12.75" customHeight="1">
      <c r="D50" s="499"/>
      <c r="E50" s="499"/>
      <c r="I50" s="497"/>
      <c r="L50" s="494"/>
      <c r="O50" s="498"/>
    </row>
    <row r="51" spans="3:15" ht="12.75" customHeight="1">
      <c r="C51" s="432"/>
      <c r="G51" s="497"/>
      <c r="I51" s="497"/>
      <c r="M51" s="432" t="s">
        <v>572</v>
      </c>
      <c r="O51" s="432"/>
    </row>
    <row r="52" spans="3:13" ht="12.75" customHeight="1">
      <c r="C52" s="432"/>
      <c r="G52" s="432"/>
      <c r="I52" s="497"/>
      <c r="M52" s="432" t="s">
        <v>573</v>
      </c>
    </row>
    <row r="53" spans="3:13" ht="12.75" customHeight="1">
      <c r="C53" s="432"/>
      <c r="G53" s="432"/>
      <c r="I53" s="497"/>
      <c r="M53" s="432"/>
    </row>
    <row r="54" spans="3:13" ht="12.75" customHeight="1">
      <c r="C54" s="432"/>
      <c r="G54" s="432"/>
      <c r="I54" s="497"/>
      <c r="M54" s="432"/>
    </row>
    <row r="55" spans="3:9" ht="12.75" customHeight="1">
      <c r="C55" s="432"/>
      <c r="E55" s="432"/>
      <c r="G55" s="432"/>
      <c r="I55" s="497"/>
    </row>
    <row r="56" spans="2:15" ht="12.75" customHeight="1">
      <c r="B56" s="498" t="s">
        <v>28</v>
      </c>
      <c r="C56" s="432"/>
      <c r="E56" s="432"/>
      <c r="F56" s="498"/>
      <c r="G56" s="498"/>
      <c r="I56" s="498"/>
      <c r="L56" s="498" t="s">
        <v>587</v>
      </c>
      <c r="O56" s="432"/>
    </row>
    <row r="57" spans="2:15" ht="12.75" customHeight="1">
      <c r="B57" s="500" t="s">
        <v>618</v>
      </c>
      <c r="C57" s="498"/>
      <c r="D57" s="498"/>
      <c r="G57" s="498"/>
      <c r="I57" s="498"/>
      <c r="L57" s="498" t="s">
        <v>34</v>
      </c>
      <c r="O57" s="432"/>
    </row>
    <row r="58" spans="3:15" ht="12.75" customHeight="1">
      <c r="C58" s="498"/>
      <c r="D58" s="498"/>
      <c r="G58" s="432"/>
      <c r="I58" s="498"/>
      <c r="O58" s="432"/>
    </row>
    <row r="59" spans="2:15" ht="15">
      <c r="B59" s="498"/>
      <c r="O59" s="498"/>
    </row>
    <row r="60" spans="2:15" ht="15">
      <c r="B60" s="500"/>
      <c r="O60" s="498"/>
    </row>
  </sheetData>
  <sheetProtection/>
  <mergeCells count="4">
    <mergeCell ref="B1:S1"/>
    <mergeCell ref="B2:S2"/>
    <mergeCell ref="B3:S3"/>
    <mergeCell ref="D49:E49"/>
  </mergeCells>
  <printOptions horizontalCentered="1"/>
  <pageMargins left="1" right="1" top="0.38" bottom="0.27" header="0.17" footer="0.16"/>
  <pageSetup firstPageNumber="5" useFirstPageNumber="1" horizontalDpi="600" verticalDpi="600" orientation="landscape" paperSize="9" scale="70" r:id="rId1"/>
  <headerFooter>
    <oddHeader>&amp;RHAQUE SHAH ALAM MANSUR &amp;&amp; CO.
Chartered Accountants</oddHeader>
    <oddFooter>&amp;C&amp;P</oddFooter>
  </headerFooter>
</worksheet>
</file>

<file path=xl/worksheets/sheet4.xml><?xml version="1.0" encoding="utf-8"?>
<worksheet xmlns="http://schemas.openxmlformats.org/spreadsheetml/2006/main" xmlns:r="http://schemas.openxmlformats.org/officeDocument/2006/relationships">
  <dimension ref="B2:W49"/>
  <sheetViews>
    <sheetView zoomScalePageLayoutView="0" workbookViewId="0" topLeftCell="A25">
      <selection activeCell="B49" sqref="B49"/>
    </sheetView>
  </sheetViews>
  <sheetFormatPr defaultColWidth="9.140625" defaultRowHeight="12.75"/>
  <cols>
    <col min="1" max="1" width="1.421875" style="0" customWidth="1"/>
    <col min="2" max="2" width="32.28125" style="0" customWidth="1"/>
    <col min="3" max="3" width="6.57421875" style="3" customWidth="1"/>
    <col min="4" max="4" width="1.57421875" style="0" customWidth="1"/>
    <col min="5" max="5" width="12.7109375" style="5" customWidth="1"/>
    <col min="6" max="6" width="1.421875" style="0" customWidth="1"/>
    <col min="7" max="7" width="12.7109375" style="5" customWidth="1"/>
    <col min="8" max="8" width="1.57421875" style="0" customWidth="1"/>
    <col min="9" max="9" width="12.7109375" style="5" customWidth="1"/>
    <col min="10" max="10" width="1.421875" style="0" customWidth="1"/>
    <col min="11" max="11" width="12.7109375" style="5" customWidth="1"/>
    <col min="12" max="12" width="1.57421875" style="0" customWidth="1"/>
    <col min="13" max="13" width="12.7109375" style="5" customWidth="1"/>
    <col min="14" max="14" width="1.421875" style="0" customWidth="1"/>
    <col min="15" max="15" width="12.7109375" style="5" customWidth="1"/>
    <col min="16" max="16" width="1.1484375" style="0" customWidth="1"/>
    <col min="17" max="17" width="12.7109375" style="5" customWidth="1"/>
    <col min="18" max="18" width="1.28515625" style="0" customWidth="1"/>
    <col min="19" max="19" width="12.7109375" style="5" customWidth="1"/>
    <col min="20" max="20" width="1.421875" style="0" customWidth="1"/>
    <col min="21" max="21" width="13.28125" style="0" customWidth="1"/>
    <col min="22" max="22" width="20.57421875" style="0" bestFit="1" customWidth="1"/>
    <col min="23" max="23" width="12.8515625" style="0" bestFit="1" customWidth="1"/>
  </cols>
  <sheetData>
    <row r="1" ht="6.75" customHeight="1"/>
    <row r="2" spans="2:19" ht="15.75" customHeight="1">
      <c r="B2" s="406" t="s">
        <v>325</v>
      </c>
      <c r="C2" s="406"/>
      <c r="D2" s="406"/>
      <c r="E2" s="406"/>
      <c r="F2" s="406"/>
      <c r="G2" s="406"/>
      <c r="H2" s="406"/>
      <c r="I2" s="406"/>
      <c r="J2" s="406"/>
      <c r="K2" s="406"/>
      <c r="L2" s="406"/>
      <c r="M2" s="406"/>
      <c r="N2" s="406"/>
      <c r="O2" s="406"/>
      <c r="P2" s="406"/>
      <c r="Q2" s="406"/>
      <c r="R2" s="406"/>
      <c r="S2" s="406"/>
    </row>
    <row r="3" spans="2:19" ht="15.75">
      <c r="B3" s="407" t="s">
        <v>327</v>
      </c>
      <c r="C3" s="407"/>
      <c r="D3" s="407"/>
      <c r="E3" s="407"/>
      <c r="F3" s="407"/>
      <c r="G3" s="407"/>
      <c r="H3" s="407"/>
      <c r="I3" s="407"/>
      <c r="J3" s="407"/>
      <c r="K3" s="407"/>
      <c r="L3" s="407"/>
      <c r="M3" s="407"/>
      <c r="N3" s="407"/>
      <c r="O3" s="407"/>
      <c r="P3" s="407"/>
      <c r="Q3" s="407"/>
      <c r="R3" s="407"/>
      <c r="S3" s="407"/>
    </row>
    <row r="4" spans="2:23" ht="15.75">
      <c r="B4" s="407" t="s">
        <v>527</v>
      </c>
      <c r="C4" s="407"/>
      <c r="D4" s="407"/>
      <c r="E4" s="407"/>
      <c r="F4" s="407"/>
      <c r="G4" s="407"/>
      <c r="H4" s="407"/>
      <c r="I4" s="407"/>
      <c r="J4" s="407"/>
      <c r="K4" s="407"/>
      <c r="L4" s="407"/>
      <c r="M4" s="407"/>
      <c r="N4" s="407"/>
      <c r="O4" s="407"/>
      <c r="P4" s="407"/>
      <c r="Q4" s="407"/>
      <c r="R4" s="407"/>
      <c r="S4" s="407"/>
      <c r="V4" s="68" t="s">
        <v>575</v>
      </c>
      <c r="W4" s="103">
        <v>166893899.48</v>
      </c>
    </row>
    <row r="5" spans="22:23" ht="12.75">
      <c r="V5" s="18" t="s">
        <v>188</v>
      </c>
      <c r="W5" s="68">
        <v>10047943</v>
      </c>
    </row>
    <row r="6" spans="2:23" ht="12.75">
      <c r="B6" s="50" t="s">
        <v>31</v>
      </c>
      <c r="C6" s="94" t="s">
        <v>30</v>
      </c>
      <c r="D6" s="264"/>
      <c r="E6" s="13" t="s">
        <v>298</v>
      </c>
      <c r="F6" s="94"/>
      <c r="G6" s="13" t="s">
        <v>300</v>
      </c>
      <c r="H6" s="94"/>
      <c r="I6" s="13" t="s">
        <v>301</v>
      </c>
      <c r="J6" s="94"/>
      <c r="K6" s="13" t="s">
        <v>302</v>
      </c>
      <c r="L6" s="94"/>
      <c r="M6" s="13" t="s">
        <v>303</v>
      </c>
      <c r="N6" s="94"/>
      <c r="O6" s="13" t="s">
        <v>304</v>
      </c>
      <c r="P6" s="94"/>
      <c r="Q6" s="13">
        <v>2015</v>
      </c>
      <c r="R6" s="94"/>
      <c r="S6" s="13">
        <v>2014</v>
      </c>
      <c r="T6" s="264"/>
      <c r="U6" s="185"/>
      <c r="V6" s="18" t="s">
        <v>163</v>
      </c>
      <c r="W6" s="68">
        <v>3057258</v>
      </c>
    </row>
    <row r="7" spans="2:23" ht="12.75">
      <c r="B7" s="263"/>
      <c r="C7" s="262"/>
      <c r="D7" s="263"/>
      <c r="E7" s="113" t="s">
        <v>35</v>
      </c>
      <c r="F7" s="40"/>
      <c r="G7" s="113" t="s">
        <v>35</v>
      </c>
      <c r="H7" s="40"/>
      <c r="I7" s="113" t="s">
        <v>35</v>
      </c>
      <c r="J7" s="40"/>
      <c r="K7" s="113" t="s">
        <v>35</v>
      </c>
      <c r="L7" s="40"/>
      <c r="M7" s="113" t="s">
        <v>35</v>
      </c>
      <c r="N7" s="40"/>
      <c r="O7" s="113" t="s">
        <v>35</v>
      </c>
      <c r="P7" s="40"/>
      <c r="Q7" s="113" t="s">
        <v>35</v>
      </c>
      <c r="R7" s="40"/>
      <c r="S7" s="113" t="s">
        <v>35</v>
      </c>
      <c r="T7" s="96"/>
      <c r="V7" s="18" t="s">
        <v>164</v>
      </c>
      <c r="W7" s="68">
        <v>244338</v>
      </c>
    </row>
    <row r="8" spans="2:23" ht="12.75">
      <c r="B8" s="265"/>
      <c r="D8" s="82"/>
      <c r="E8" s="219"/>
      <c r="F8" s="219"/>
      <c r="G8" s="219"/>
      <c r="H8" s="219"/>
      <c r="I8" s="219"/>
      <c r="J8" s="219"/>
      <c r="K8" s="219"/>
      <c r="L8" s="219"/>
      <c r="M8" s="219"/>
      <c r="N8" s="219"/>
      <c r="O8" s="219"/>
      <c r="P8" s="219"/>
      <c r="Q8" s="219"/>
      <c r="R8" s="219"/>
      <c r="S8" s="219"/>
      <c r="T8" s="96"/>
      <c r="V8" s="18" t="s">
        <v>180</v>
      </c>
      <c r="W8" s="68">
        <v>9391898</v>
      </c>
    </row>
    <row r="9" spans="2:23" ht="13.5" thickBot="1">
      <c r="B9" s="194" t="s">
        <v>32</v>
      </c>
      <c r="C9" s="3">
        <v>19</v>
      </c>
      <c r="D9" s="82"/>
      <c r="E9" s="273">
        <v>0</v>
      </c>
      <c r="F9" s="281"/>
      <c r="G9" s="274">
        <f>54821360+2574932</f>
        <v>57396292</v>
      </c>
      <c r="H9" s="281"/>
      <c r="I9" s="275">
        <v>62151860</v>
      </c>
      <c r="J9" s="281"/>
      <c r="K9" s="274">
        <v>85842784</v>
      </c>
      <c r="L9" s="79"/>
      <c r="M9" s="275">
        <v>0</v>
      </c>
      <c r="N9" s="79"/>
      <c r="O9" s="274">
        <v>5100593</v>
      </c>
      <c r="P9" s="79"/>
      <c r="Q9" s="274">
        <f>PL!G8</f>
        <v>210491529</v>
      </c>
      <c r="R9" s="25"/>
      <c r="S9" s="272">
        <v>306956756</v>
      </c>
      <c r="T9" s="224"/>
      <c r="U9" s="19"/>
      <c r="V9" s="8" t="s">
        <v>40</v>
      </c>
      <c r="W9" s="85">
        <v>22741437</v>
      </c>
    </row>
    <row r="10" spans="2:23" ht="8.25" customHeight="1" thickTop="1">
      <c r="B10" s="194"/>
      <c r="D10" s="82"/>
      <c r="E10" s="34"/>
      <c r="F10" s="219"/>
      <c r="G10" s="255"/>
      <c r="H10" s="219"/>
      <c r="I10" s="255"/>
      <c r="J10" s="25"/>
      <c r="K10" s="255"/>
      <c r="L10" s="25"/>
      <c r="M10" s="255"/>
      <c r="N10" s="25"/>
      <c r="O10" s="255"/>
      <c r="P10" s="25"/>
      <c r="Q10" s="255"/>
      <c r="R10" s="25"/>
      <c r="S10" s="255"/>
      <c r="T10" s="224"/>
      <c r="U10" s="19"/>
      <c r="V10" s="103"/>
      <c r="W10" s="103">
        <f>W4+W9</f>
        <v>189635336.48</v>
      </c>
    </row>
    <row r="11" spans="2:21" ht="12.75">
      <c r="B11" s="194" t="s">
        <v>39</v>
      </c>
      <c r="C11" s="3">
        <v>20</v>
      </c>
      <c r="D11" s="82"/>
      <c r="E11" s="255">
        <f>-'N-5'!C25</f>
        <v>-1765976</v>
      </c>
      <c r="F11" s="219"/>
      <c r="G11" s="255">
        <f>-'N-5'!E25</f>
        <v>-51883343</v>
      </c>
      <c r="H11" s="219"/>
      <c r="I11" s="255">
        <f>-'N-5'!G25</f>
        <v>-57914198</v>
      </c>
      <c r="J11" s="25"/>
      <c r="K11" s="255">
        <f>-'N-5'!I25</f>
        <v>-79856294</v>
      </c>
      <c r="L11" s="25"/>
      <c r="M11" s="255">
        <f>-'N-5'!K25</f>
        <v>-3508006</v>
      </c>
      <c r="N11" s="25"/>
      <c r="O11" s="255">
        <f>-'N-5'!M25</f>
        <v>-4701607</v>
      </c>
      <c r="P11" s="25"/>
      <c r="Q11" s="255">
        <f>PL!G10</f>
        <v>-199629424.48</v>
      </c>
      <c r="R11" s="25"/>
      <c r="S11" s="267">
        <f>-'N-5'!Q25</f>
        <v>-290409260</v>
      </c>
      <c r="T11" s="224"/>
      <c r="U11" s="19"/>
    </row>
    <row r="12" spans="2:23" ht="12.75">
      <c r="B12" s="194" t="s">
        <v>371</v>
      </c>
      <c r="C12" s="279"/>
      <c r="D12" s="82"/>
      <c r="E12" s="121">
        <f>E9+E11</f>
        <v>-1765976</v>
      </c>
      <c r="F12" s="276"/>
      <c r="G12" s="121">
        <f>G9+G11</f>
        <v>5512949</v>
      </c>
      <c r="H12" s="276"/>
      <c r="I12" s="121">
        <f>I9+I11</f>
        <v>4237662</v>
      </c>
      <c r="J12" s="276"/>
      <c r="K12" s="121">
        <f>K9+K11</f>
        <v>5986490</v>
      </c>
      <c r="L12" s="276"/>
      <c r="M12" s="121">
        <f>M9+M11</f>
        <v>-3508006</v>
      </c>
      <c r="N12" s="276"/>
      <c r="O12" s="121">
        <f>O9+O11</f>
        <v>398986</v>
      </c>
      <c r="P12" s="123"/>
      <c r="Q12" s="121">
        <f>Q9+Q11</f>
        <v>10862104.52000001</v>
      </c>
      <c r="R12" s="123"/>
      <c r="S12" s="230">
        <f>S9+S11</f>
        <v>16547496</v>
      </c>
      <c r="T12" s="224"/>
      <c r="U12" s="19"/>
      <c r="W12" s="19">
        <f>W10</f>
        <v>189635336.48</v>
      </c>
    </row>
    <row r="13" spans="2:23" ht="7.5" customHeight="1">
      <c r="B13" s="194"/>
      <c r="D13" s="82"/>
      <c r="E13" s="10"/>
      <c r="F13" s="219"/>
      <c r="G13" s="10"/>
      <c r="H13" s="219"/>
      <c r="I13" s="10"/>
      <c r="J13" s="219"/>
      <c r="K13" s="10"/>
      <c r="L13" s="219"/>
      <c r="M13" s="10"/>
      <c r="N13" s="219"/>
      <c r="O13" s="10"/>
      <c r="P13" s="25"/>
      <c r="Q13" s="10"/>
      <c r="R13" s="25"/>
      <c r="S13" s="10"/>
      <c r="T13" s="224"/>
      <c r="U13" s="19"/>
      <c r="V13" t="s">
        <v>576</v>
      </c>
      <c r="W13" s="19">
        <f>W14+W12</f>
        <v>-9994088</v>
      </c>
    </row>
    <row r="14" spans="2:23" ht="12.75">
      <c r="B14" s="194" t="s">
        <v>38</v>
      </c>
      <c r="D14" s="82"/>
      <c r="E14" s="10">
        <f>SUM(E15:E16)</f>
        <v>-96803</v>
      </c>
      <c r="F14" s="219"/>
      <c r="G14" s="10">
        <f>SUM(G15:G16)</f>
        <v>-2964648</v>
      </c>
      <c r="H14" s="219"/>
      <c r="I14" s="10">
        <f>SUM(I15:I16)</f>
        <v>-5217441</v>
      </c>
      <c r="J14" s="219"/>
      <c r="K14" s="10">
        <f>SUM(K15:K16)</f>
        <v>-9907673</v>
      </c>
      <c r="L14" s="219"/>
      <c r="M14" s="10">
        <f>SUM(M15:M16)</f>
        <v>-323962</v>
      </c>
      <c r="N14" s="219"/>
      <c r="O14" s="10">
        <f>SUM(O15:O16)</f>
        <v>-2240628</v>
      </c>
      <c r="P14" s="219"/>
      <c r="Q14" s="10">
        <f>SUM(Q15:Q16)</f>
        <v>-20751155</v>
      </c>
      <c r="R14" s="10">
        <f>SUM(R15:R16)</f>
        <v>0</v>
      </c>
      <c r="S14" s="10">
        <f>SUM(S15:S16)</f>
        <v>-23439564</v>
      </c>
      <c r="T14" s="224"/>
      <c r="U14" s="19"/>
      <c r="W14" s="19">
        <f>Q11</f>
        <v>-199629424.48</v>
      </c>
    </row>
    <row r="15" spans="2:21" ht="12.75">
      <c r="B15" s="65" t="s">
        <v>73</v>
      </c>
      <c r="C15" s="3">
        <v>21</v>
      </c>
      <c r="D15" s="82"/>
      <c r="E15" s="33">
        <f>-'N-5'!C109</f>
        <v>-96803</v>
      </c>
      <c r="F15" s="219"/>
      <c r="G15" s="33">
        <f>-'N-5'!E109</f>
        <v>-2854403</v>
      </c>
      <c r="H15" s="219"/>
      <c r="I15" s="33">
        <f>-'N-5'!G109</f>
        <v>-4972081</v>
      </c>
      <c r="J15" s="219"/>
      <c r="K15" s="33">
        <f>-'N-5'!I109</f>
        <v>-9457546</v>
      </c>
      <c r="L15" s="219"/>
      <c r="M15" s="33">
        <f>-'N-5'!K109</f>
        <v>-323962</v>
      </c>
      <c r="N15" s="219"/>
      <c r="O15" s="33">
        <f>-'N-5'!M109</f>
        <v>-2223776</v>
      </c>
      <c r="P15" s="219"/>
      <c r="Q15" s="11">
        <f>PL!G14</f>
        <v>-19928571</v>
      </c>
      <c r="R15" s="219"/>
      <c r="S15" s="33">
        <f>-'N-5'!Q109</f>
        <v>-22276646</v>
      </c>
      <c r="T15" s="224"/>
      <c r="U15" s="19"/>
    </row>
    <row r="16" spans="2:21" ht="12.75">
      <c r="B16" s="65" t="s">
        <v>51</v>
      </c>
      <c r="C16" s="3">
        <v>22</v>
      </c>
      <c r="D16" s="82"/>
      <c r="E16" s="37">
        <v>0</v>
      </c>
      <c r="F16" s="219"/>
      <c r="G16" s="37">
        <v>-110245</v>
      </c>
      <c r="H16" s="219"/>
      <c r="I16" s="37">
        <v>-245360</v>
      </c>
      <c r="J16" s="219"/>
      <c r="K16" s="37">
        <v>-450127</v>
      </c>
      <c r="L16" s="219"/>
      <c r="M16" s="37">
        <v>0</v>
      </c>
      <c r="N16" s="219"/>
      <c r="O16" s="37">
        <v>-16852</v>
      </c>
      <c r="P16" s="219"/>
      <c r="Q16" s="17">
        <f>PL!G15</f>
        <v>-822584</v>
      </c>
      <c r="R16" s="219"/>
      <c r="S16" s="37">
        <v>-1162918</v>
      </c>
      <c r="T16" s="224"/>
      <c r="U16" s="19"/>
    </row>
    <row r="17" spans="2:21" ht="6.75" customHeight="1">
      <c r="B17" s="65"/>
      <c r="D17" s="82"/>
      <c r="E17" s="24"/>
      <c r="F17" s="219"/>
      <c r="G17" s="24"/>
      <c r="H17" s="219"/>
      <c r="I17" s="24"/>
      <c r="J17" s="219"/>
      <c r="K17" s="24"/>
      <c r="L17" s="219"/>
      <c r="M17" s="24"/>
      <c r="N17" s="219"/>
      <c r="O17" s="24"/>
      <c r="P17" s="219"/>
      <c r="Q17" s="22"/>
      <c r="R17" s="219"/>
      <c r="S17" s="24"/>
      <c r="T17" s="224"/>
      <c r="U17" s="19"/>
    </row>
    <row r="18" spans="2:21" ht="12.75">
      <c r="B18" s="282" t="s">
        <v>394</v>
      </c>
      <c r="C18" s="279"/>
      <c r="D18" s="82"/>
      <c r="E18" s="199">
        <f>E12+E14</f>
        <v>-1862779</v>
      </c>
      <c r="F18" s="121">
        <f>F12-F15</f>
        <v>0</v>
      </c>
      <c r="G18" s="121">
        <f>G12+G14</f>
        <v>2548301</v>
      </c>
      <c r="H18" s="121">
        <f>H12-H15</f>
        <v>0</v>
      </c>
      <c r="I18" s="121">
        <f>I12+I14</f>
        <v>-979779</v>
      </c>
      <c r="J18" s="121">
        <f>J12-J15</f>
        <v>0</v>
      </c>
      <c r="K18" s="121">
        <f>K12+K14</f>
        <v>-3921183</v>
      </c>
      <c r="L18" s="121">
        <f>L12-L15</f>
        <v>0</v>
      </c>
      <c r="M18" s="121">
        <f>M12+M14</f>
        <v>-3831968</v>
      </c>
      <c r="N18" s="121">
        <f>N12-N15</f>
        <v>0</v>
      </c>
      <c r="O18" s="121">
        <f>O12+O14</f>
        <v>-1841642</v>
      </c>
      <c r="P18" s="121">
        <f>P12-P15</f>
        <v>0</v>
      </c>
      <c r="Q18" s="121">
        <f>Q12+Q14</f>
        <v>-9889050.47999999</v>
      </c>
      <c r="R18" s="121">
        <f>R12-R15</f>
        <v>0</v>
      </c>
      <c r="S18" s="122">
        <f>S12+S14</f>
        <v>-6892068</v>
      </c>
      <c r="T18" s="224"/>
      <c r="U18" s="19"/>
    </row>
    <row r="19" spans="2:21" ht="6.75" customHeight="1">
      <c r="B19" s="282"/>
      <c r="C19" s="279"/>
      <c r="D19" s="82"/>
      <c r="E19" s="10"/>
      <c r="F19" s="10"/>
      <c r="G19" s="10"/>
      <c r="H19" s="10"/>
      <c r="I19" s="10"/>
      <c r="J19" s="10"/>
      <c r="K19" s="10"/>
      <c r="L19" s="10"/>
      <c r="M19" s="10"/>
      <c r="N19" s="10"/>
      <c r="O19" s="10"/>
      <c r="P19" s="10"/>
      <c r="Q19" s="10"/>
      <c r="R19" s="10"/>
      <c r="S19" s="10"/>
      <c r="T19" s="224"/>
      <c r="U19" s="19"/>
    </row>
    <row r="20" spans="2:21" ht="12.75">
      <c r="B20" s="265" t="s">
        <v>190</v>
      </c>
      <c r="C20" s="279">
        <v>23</v>
      </c>
      <c r="D20" s="82"/>
      <c r="E20" s="33">
        <f>'N-5'!C127</f>
        <v>0</v>
      </c>
      <c r="F20" s="219"/>
      <c r="G20" s="33">
        <f>-'N-5'!E127</f>
        <v>-15780</v>
      </c>
      <c r="H20" s="219"/>
      <c r="I20" s="33">
        <f>-'N-5'!G127</f>
        <v>-26898</v>
      </c>
      <c r="J20" s="219"/>
      <c r="K20" s="33">
        <f>-'N-5'!I127</f>
        <v>-35428</v>
      </c>
      <c r="L20" s="219"/>
      <c r="M20" s="33">
        <f>'N-5'!K127</f>
        <v>0</v>
      </c>
      <c r="N20" s="219"/>
      <c r="O20" s="33">
        <f>-'N-5'!M127</f>
        <v>-11410</v>
      </c>
      <c r="P20" s="219"/>
      <c r="Q20" s="11">
        <f>PL!G19</f>
        <v>-89516</v>
      </c>
      <c r="R20" s="219"/>
      <c r="S20" s="277">
        <v>-88596</v>
      </c>
      <c r="T20" s="224"/>
      <c r="U20" s="19"/>
    </row>
    <row r="21" spans="2:21" ht="6.75" customHeight="1">
      <c r="B21" s="265"/>
      <c r="C21" s="279"/>
      <c r="D21" s="82"/>
      <c r="E21" s="268"/>
      <c r="F21" s="219"/>
      <c r="G21" s="268"/>
      <c r="H21" s="219"/>
      <c r="I21" s="268"/>
      <c r="J21" s="219"/>
      <c r="K21" s="268"/>
      <c r="L21" s="219"/>
      <c r="M21" s="268"/>
      <c r="N21" s="219"/>
      <c r="O21" s="268"/>
      <c r="P21" s="219"/>
      <c r="Q21" s="280"/>
      <c r="R21" s="219"/>
      <c r="S21" s="268"/>
      <c r="T21" s="224"/>
      <c r="U21" s="19"/>
    </row>
    <row r="22" spans="2:21" ht="12.75">
      <c r="B22" s="194" t="s">
        <v>276</v>
      </c>
      <c r="C22" s="279"/>
      <c r="D22" s="82"/>
      <c r="E22" s="199">
        <f>E18+E20</f>
        <v>-1862779</v>
      </c>
      <c r="F22" s="123"/>
      <c r="G22" s="121">
        <f>G18+G20</f>
        <v>2532521</v>
      </c>
      <c r="H22" s="123"/>
      <c r="I22" s="121">
        <f>I18+I20</f>
        <v>-1006677</v>
      </c>
      <c r="J22" s="123"/>
      <c r="K22" s="121">
        <f>K18+K20</f>
        <v>-3956611</v>
      </c>
      <c r="L22" s="123"/>
      <c r="M22" s="121">
        <f>M18+M20</f>
        <v>-3831968</v>
      </c>
      <c r="N22" s="123"/>
      <c r="O22" s="121">
        <f>O18+O20</f>
        <v>-1853052</v>
      </c>
      <c r="P22" s="123"/>
      <c r="Q22" s="121">
        <f>Q18+Q20</f>
        <v>-9978566.47999999</v>
      </c>
      <c r="R22" s="123"/>
      <c r="S22" s="122">
        <f>S18+S20</f>
        <v>-6980664</v>
      </c>
      <c r="T22" s="224"/>
      <c r="U22" s="19"/>
    </row>
    <row r="23" spans="2:21" ht="7.5" customHeight="1">
      <c r="B23" s="194"/>
      <c r="C23" s="279"/>
      <c r="D23" s="82"/>
      <c r="E23" s="121"/>
      <c r="F23" s="25"/>
      <c r="G23" s="121"/>
      <c r="H23" s="25"/>
      <c r="I23" s="121"/>
      <c r="J23" s="25"/>
      <c r="K23" s="121"/>
      <c r="L23" s="25"/>
      <c r="M23" s="121"/>
      <c r="N23" s="25"/>
      <c r="O23" s="121"/>
      <c r="P23" s="25"/>
      <c r="Q23" s="121"/>
      <c r="R23" s="25"/>
      <c r="S23" s="121"/>
      <c r="T23" s="224"/>
      <c r="U23" s="19"/>
    </row>
    <row r="24" spans="2:21" ht="12.75">
      <c r="B24" s="265" t="s">
        <v>277</v>
      </c>
      <c r="C24" s="247"/>
      <c r="D24" s="93"/>
      <c r="E24" s="197">
        <v>0</v>
      </c>
      <c r="F24" s="27"/>
      <c r="G24" s="197">
        <v>0</v>
      </c>
      <c r="H24" s="27"/>
      <c r="I24" s="197">
        <v>0</v>
      </c>
      <c r="J24" s="27"/>
      <c r="K24" s="197">
        <v>0</v>
      </c>
      <c r="L24" s="27"/>
      <c r="M24" s="197">
        <v>0</v>
      </c>
      <c r="N24" s="27"/>
      <c r="O24" s="197">
        <v>0</v>
      </c>
      <c r="P24" s="27"/>
      <c r="Q24" s="197">
        <f>E24+G24+I24+K24+M24+O24</f>
        <v>0</v>
      </c>
      <c r="R24" s="27"/>
      <c r="S24" s="197">
        <v>0</v>
      </c>
      <c r="T24" s="224"/>
      <c r="U24" s="19"/>
    </row>
    <row r="25" spans="2:21" ht="5.25" customHeight="1">
      <c r="B25" s="265"/>
      <c r="C25" s="247"/>
      <c r="D25" s="93"/>
      <c r="E25" s="22"/>
      <c r="F25" s="27"/>
      <c r="G25" s="22"/>
      <c r="H25" s="27"/>
      <c r="I25" s="22"/>
      <c r="J25" s="27"/>
      <c r="K25" s="22"/>
      <c r="L25" s="27"/>
      <c r="M25" s="22"/>
      <c r="N25" s="27"/>
      <c r="O25" s="22"/>
      <c r="P25" s="27"/>
      <c r="Q25" s="22"/>
      <c r="R25" s="27"/>
      <c r="S25" s="22"/>
      <c r="T25" s="224"/>
      <c r="U25" s="19"/>
    </row>
    <row r="26" spans="2:21" ht="12.75">
      <c r="B26" s="194" t="s">
        <v>370</v>
      </c>
      <c r="C26" s="279"/>
      <c r="D26" s="82"/>
      <c r="E26" s="199">
        <f>E22+E24</f>
        <v>-1862779</v>
      </c>
      <c r="F26" s="123"/>
      <c r="G26" s="121">
        <f>G22+G24</f>
        <v>2532521</v>
      </c>
      <c r="H26" s="123"/>
      <c r="I26" s="121">
        <f>I22+I24</f>
        <v>-1006677</v>
      </c>
      <c r="J26" s="123"/>
      <c r="K26" s="121">
        <f>K22+K24</f>
        <v>-3956611</v>
      </c>
      <c r="L26" s="123"/>
      <c r="M26" s="121">
        <f>M22+M24</f>
        <v>-3831968</v>
      </c>
      <c r="N26" s="123"/>
      <c r="O26" s="121">
        <f>O22+O24</f>
        <v>-1853052</v>
      </c>
      <c r="P26" s="123"/>
      <c r="Q26" s="121">
        <f>Q22+Q24</f>
        <v>-9978566.47999999</v>
      </c>
      <c r="R26" s="123"/>
      <c r="S26" s="122">
        <f>S22</f>
        <v>-6980664</v>
      </c>
      <c r="T26" s="224"/>
      <c r="U26" s="19"/>
    </row>
    <row r="27" spans="2:21" ht="6" customHeight="1">
      <c r="B27" s="194"/>
      <c r="C27" s="279"/>
      <c r="D27" s="82"/>
      <c r="E27" s="10"/>
      <c r="F27" s="25"/>
      <c r="G27" s="10"/>
      <c r="H27" s="25"/>
      <c r="I27" s="10"/>
      <c r="J27" s="25"/>
      <c r="K27" s="10"/>
      <c r="L27" s="25"/>
      <c r="M27" s="10"/>
      <c r="N27" s="25"/>
      <c r="O27" s="10"/>
      <c r="P27" s="25"/>
      <c r="Q27" s="10"/>
      <c r="R27" s="25"/>
      <c r="S27" s="10"/>
      <c r="T27" s="224"/>
      <c r="U27" s="19"/>
    </row>
    <row r="28" spans="2:21" ht="12.75">
      <c r="B28" s="278" t="s">
        <v>508</v>
      </c>
      <c r="D28" s="82"/>
      <c r="E28" s="10">
        <f>SUM(E29:E30)</f>
        <v>653239</v>
      </c>
      <c r="F28" s="25"/>
      <c r="G28" s="10">
        <f>SUM(G29:G30)</f>
        <v>-80953</v>
      </c>
      <c r="H28" s="25"/>
      <c r="I28" s="10">
        <f>SUM(I29:I30)</f>
        <v>166041</v>
      </c>
      <c r="J28" s="25"/>
      <c r="K28" s="10">
        <f>SUM(K29:K30)</f>
        <v>-136874</v>
      </c>
      <c r="L28" s="25"/>
      <c r="M28" s="10">
        <f>SUM(M29:M30)</f>
        <v>478834</v>
      </c>
      <c r="N28" s="25"/>
      <c r="O28" s="10">
        <f>SUM(O29:O30)</f>
        <v>123014</v>
      </c>
      <c r="P28" s="25"/>
      <c r="Q28" s="10">
        <f>SUM(Q29:Q30)</f>
        <v>1203301</v>
      </c>
      <c r="R28" s="25"/>
      <c r="S28" s="10">
        <v>588969</v>
      </c>
      <c r="T28" s="224"/>
      <c r="U28" s="19"/>
    </row>
    <row r="29" spans="2:21" ht="12.75">
      <c r="B29" s="266" t="s">
        <v>509</v>
      </c>
      <c r="D29" s="82"/>
      <c r="E29" s="11">
        <v>0</v>
      </c>
      <c r="F29" s="27"/>
      <c r="G29" s="11">
        <f>-164465-7725</f>
        <v>-172190</v>
      </c>
      <c r="H29" s="27"/>
      <c r="I29" s="11">
        <v>-186455</v>
      </c>
      <c r="J29" s="27"/>
      <c r="K29" s="11">
        <v>-257528</v>
      </c>
      <c r="L29" s="27"/>
      <c r="M29" s="11">
        <v>0</v>
      </c>
      <c r="N29" s="27"/>
      <c r="O29" s="11">
        <v>-15302</v>
      </c>
      <c r="P29" s="27"/>
      <c r="Q29" s="11">
        <f>PL!G28</f>
        <v>-631475</v>
      </c>
      <c r="R29" s="27"/>
      <c r="S29" s="11">
        <v>-1301544</v>
      </c>
      <c r="T29" s="224"/>
      <c r="U29" s="19"/>
    </row>
    <row r="30" spans="2:21" ht="12.75">
      <c r="B30" s="266" t="s">
        <v>510</v>
      </c>
      <c r="D30" s="82"/>
      <c r="E30" s="17">
        <f>708976-55737</f>
        <v>653239</v>
      </c>
      <c r="F30" s="27"/>
      <c r="G30" s="17">
        <v>91237</v>
      </c>
      <c r="H30" s="27"/>
      <c r="I30" s="17">
        <v>352496</v>
      </c>
      <c r="J30" s="27"/>
      <c r="K30" s="17">
        <v>120654</v>
      </c>
      <c r="L30" s="27"/>
      <c r="M30" s="17">
        <v>478834</v>
      </c>
      <c r="N30" s="27"/>
      <c r="O30" s="17">
        <v>138316</v>
      </c>
      <c r="P30" s="27"/>
      <c r="Q30" s="17">
        <f>PL!G29</f>
        <v>1834776</v>
      </c>
      <c r="R30" s="27"/>
      <c r="S30" s="17">
        <v>1890513</v>
      </c>
      <c r="T30" s="224"/>
      <c r="U30" s="19"/>
    </row>
    <row r="31" spans="2:21" ht="5.25" customHeight="1">
      <c r="B31" s="266"/>
      <c r="D31" s="82"/>
      <c r="E31" s="22"/>
      <c r="F31" s="27"/>
      <c r="G31" s="22"/>
      <c r="H31" s="27"/>
      <c r="I31" s="22"/>
      <c r="J31" s="27"/>
      <c r="K31" s="22"/>
      <c r="L31" s="27"/>
      <c r="M31" s="22"/>
      <c r="N31" s="27"/>
      <c r="O31" s="22"/>
      <c r="P31" s="27"/>
      <c r="Q31" s="22"/>
      <c r="R31" s="27"/>
      <c r="S31" s="22"/>
      <c r="T31" s="224"/>
      <c r="U31" s="19"/>
    </row>
    <row r="32" spans="2:21" ht="12.75">
      <c r="B32" s="194" t="s">
        <v>278</v>
      </c>
      <c r="D32" s="265"/>
      <c r="E32" s="122">
        <f>E26+E28</f>
        <v>-1209540</v>
      </c>
      <c r="F32" s="123"/>
      <c r="G32" s="122">
        <f>G26+G28</f>
        <v>2451568</v>
      </c>
      <c r="H32" s="123"/>
      <c r="I32" s="122">
        <f>I26+I28</f>
        <v>-840636</v>
      </c>
      <c r="J32" s="123"/>
      <c r="K32" s="122">
        <f>K26+K28</f>
        <v>-4093485</v>
      </c>
      <c r="L32" s="123"/>
      <c r="M32" s="122">
        <f>M26+M28</f>
        <v>-3353134</v>
      </c>
      <c r="N32" s="123"/>
      <c r="O32" s="122">
        <f>O26+O28</f>
        <v>-1730038</v>
      </c>
      <c r="P32" s="123"/>
      <c r="Q32" s="122">
        <f>Q26+Q28</f>
        <v>-8775265.47999999</v>
      </c>
      <c r="R32" s="123"/>
      <c r="S32" s="122">
        <f>S26+S28</f>
        <v>-6391695</v>
      </c>
      <c r="T32" s="224"/>
      <c r="U32" s="19"/>
    </row>
    <row r="33" spans="2:20" ht="4.5" customHeight="1">
      <c r="B33" s="51"/>
      <c r="C33" s="269"/>
      <c r="D33" s="82"/>
      <c r="E33" s="10"/>
      <c r="F33" s="25"/>
      <c r="G33" s="10"/>
      <c r="H33" s="25"/>
      <c r="I33" s="10"/>
      <c r="J33" s="25"/>
      <c r="K33" s="10"/>
      <c r="L33" s="25"/>
      <c r="M33" s="10"/>
      <c r="N33" s="25"/>
      <c r="O33" s="10"/>
      <c r="P33" s="25"/>
      <c r="Q33" s="10"/>
      <c r="R33" s="25"/>
      <c r="S33" s="10"/>
      <c r="T33" s="96"/>
    </row>
    <row r="34" spans="2:20" ht="15" customHeight="1">
      <c r="B34" s="120" t="s">
        <v>23</v>
      </c>
      <c r="C34" s="235">
        <v>24</v>
      </c>
      <c r="D34" s="127"/>
      <c r="E34" s="300"/>
      <c r="F34" s="276"/>
      <c r="G34" s="300"/>
      <c r="H34" s="300"/>
      <c r="I34" s="300"/>
      <c r="J34" s="300"/>
      <c r="K34" s="300"/>
      <c r="L34" s="300"/>
      <c r="M34" s="300"/>
      <c r="N34" s="300"/>
      <c r="O34" s="300"/>
      <c r="P34" s="301">
        <f>P9*0.3%</f>
        <v>0</v>
      </c>
      <c r="Q34" s="302">
        <f>PL!G32</f>
        <v>-1.8093330886597916</v>
      </c>
      <c r="R34" s="276"/>
      <c r="S34" s="302">
        <f>'N-5'!I136</f>
        <v>-1.3178752577319588</v>
      </c>
      <c r="T34" s="231"/>
    </row>
    <row r="35" spans="2:20" ht="5.25" customHeight="1">
      <c r="B35" s="1"/>
      <c r="C35" s="9"/>
      <c r="D35" s="25"/>
      <c r="E35" s="24"/>
      <c r="F35" s="219"/>
      <c r="G35" s="24"/>
      <c r="H35" s="24"/>
      <c r="I35" s="24"/>
      <c r="J35" s="24"/>
      <c r="K35" s="24"/>
      <c r="L35" s="24"/>
      <c r="M35" s="24"/>
      <c r="N35" s="24"/>
      <c r="O35" s="24"/>
      <c r="P35" s="24"/>
      <c r="Q35" s="134"/>
      <c r="R35" s="219"/>
      <c r="S35" s="134"/>
      <c r="T35" s="219"/>
    </row>
    <row r="36" spans="2:3" ht="12.75">
      <c r="B36" t="s">
        <v>33</v>
      </c>
      <c r="C36"/>
    </row>
    <row r="37" ht="12.75">
      <c r="C37"/>
    </row>
    <row r="38" ht="9" customHeight="1">
      <c r="C38"/>
    </row>
    <row r="39" ht="12.75">
      <c r="C39"/>
    </row>
    <row r="40" spans="2:19" ht="15">
      <c r="B40" s="432" t="s">
        <v>613</v>
      </c>
      <c r="C40" s="432"/>
      <c r="D40" s="432"/>
      <c r="E40" s="494" t="s">
        <v>332</v>
      </c>
      <c r="F40" s="494"/>
      <c r="G40" s="494"/>
      <c r="H40" s="494"/>
      <c r="I40" s="494"/>
      <c r="J40" s="494" t="s">
        <v>614</v>
      </c>
      <c r="K40" s="494"/>
      <c r="L40" s="494"/>
      <c r="M40" s="494"/>
      <c r="N40" s="494"/>
      <c r="O40" s="494"/>
      <c r="P40" s="494" t="s">
        <v>615</v>
      </c>
      <c r="Q40" s="494"/>
      <c r="R40" s="494"/>
      <c r="S40" s="494"/>
    </row>
    <row r="41" spans="2:19" ht="15">
      <c r="B41" s="432" t="s">
        <v>283</v>
      </c>
      <c r="C41" s="495"/>
      <c r="D41" s="496" t="s">
        <v>617</v>
      </c>
      <c r="E41" s="496"/>
      <c r="F41" s="432"/>
      <c r="G41" s="494"/>
      <c r="H41" s="432"/>
      <c r="I41" s="497"/>
      <c r="J41" s="432" t="s">
        <v>616</v>
      </c>
      <c r="K41" s="494"/>
      <c r="L41" s="494"/>
      <c r="M41" s="494"/>
      <c r="N41" s="432"/>
      <c r="O41" s="498"/>
      <c r="P41" s="432" t="s">
        <v>593</v>
      </c>
      <c r="Q41" s="494"/>
      <c r="R41" s="432"/>
      <c r="S41" s="494"/>
    </row>
    <row r="42" spans="2:19" ht="6.75" customHeight="1">
      <c r="B42" s="432"/>
      <c r="C42" s="495"/>
      <c r="D42" s="499"/>
      <c r="E42" s="499"/>
      <c r="F42" s="432"/>
      <c r="G42" s="494"/>
      <c r="H42" s="432"/>
      <c r="I42" s="497"/>
      <c r="J42" s="432"/>
      <c r="K42" s="494"/>
      <c r="L42" s="494"/>
      <c r="M42" s="494"/>
      <c r="N42" s="432"/>
      <c r="O42" s="498"/>
      <c r="P42" s="432"/>
      <c r="Q42" s="494"/>
      <c r="R42" s="432"/>
      <c r="S42" s="494"/>
    </row>
    <row r="43" spans="3:15" ht="12.75">
      <c r="C43"/>
      <c r="G43"/>
      <c r="I43" s="2"/>
      <c r="K43" s="7" t="s">
        <v>572</v>
      </c>
      <c r="O43" s="7"/>
    </row>
    <row r="44" spans="3:15" ht="12.75">
      <c r="C44"/>
      <c r="G44"/>
      <c r="I44"/>
      <c r="K44" t="s">
        <v>573</v>
      </c>
      <c r="O44"/>
    </row>
    <row r="45" spans="3:15" ht="12.75">
      <c r="C45"/>
      <c r="G45"/>
      <c r="I45"/>
      <c r="K45"/>
      <c r="O45"/>
    </row>
    <row r="46" spans="3:15" ht="12.75">
      <c r="C46"/>
      <c r="E46"/>
      <c r="F46" s="1"/>
      <c r="G46" s="1"/>
      <c r="I46" s="1"/>
      <c r="O46"/>
    </row>
    <row r="47" spans="2:15" ht="12.75">
      <c r="B47" s="1" t="s">
        <v>28</v>
      </c>
      <c r="C47" s="1"/>
      <c r="D47" s="1"/>
      <c r="F47" s="237"/>
      <c r="G47" s="236"/>
      <c r="H47" s="237"/>
      <c r="I47" s="236"/>
      <c r="J47" s="236" t="s">
        <v>587</v>
      </c>
      <c r="O47"/>
    </row>
    <row r="48" spans="2:15" ht="12.75">
      <c r="B48" s="126" t="s">
        <v>618</v>
      </c>
      <c r="C48" s="1"/>
      <c r="D48" s="1"/>
      <c r="G48"/>
      <c r="I48" s="1"/>
      <c r="J48" s="1" t="s">
        <v>34</v>
      </c>
      <c r="O48" s="1"/>
    </row>
    <row r="49" spans="2:15" ht="12.75">
      <c r="B49" s="126"/>
      <c r="O49" s="1"/>
    </row>
  </sheetData>
  <sheetProtection/>
  <mergeCells count="4">
    <mergeCell ref="B2:S2"/>
    <mergeCell ref="B3:S3"/>
    <mergeCell ref="B4:S4"/>
    <mergeCell ref="D41:E41"/>
  </mergeCells>
  <printOptions horizontalCentered="1"/>
  <pageMargins left="0.5" right="0.5" top="1" bottom="0.75" header="0.75" footer="0.5"/>
  <pageSetup firstPageNumber="7" useFirstPageNumber="1" horizontalDpi="600" verticalDpi="600" orientation="landscape" paperSize="9" scale="88" r:id="rId1"/>
  <headerFooter>
    <oddHeader>&amp;RHAQUE SHAH ALAM MANSUR &amp;&amp; CO.
Chartered Accountants</oddHeader>
    <oddFooter>&amp;C6</oddFooter>
  </headerFooter>
</worksheet>
</file>

<file path=xl/worksheets/sheet5.xml><?xml version="1.0" encoding="utf-8"?>
<worksheet xmlns="http://schemas.openxmlformats.org/spreadsheetml/2006/main" xmlns:r="http://schemas.openxmlformats.org/officeDocument/2006/relationships">
  <dimension ref="A1:L51"/>
  <sheetViews>
    <sheetView zoomScalePageLayoutView="0" workbookViewId="0" topLeftCell="A1">
      <selection activeCell="I39" sqref="I39"/>
    </sheetView>
  </sheetViews>
  <sheetFormatPr defaultColWidth="9.140625" defaultRowHeight="12.75"/>
  <cols>
    <col min="1" max="1" width="0.5625" style="0" customWidth="1"/>
    <col min="2" max="2" width="19.7109375" style="0" customWidth="1"/>
    <col min="3" max="3" width="5.7109375" style="0" customWidth="1"/>
    <col min="4" max="4" width="14.57421875" style="0" customWidth="1"/>
    <col min="5" max="5" width="13.8515625" style="0" customWidth="1"/>
    <col min="6" max="6" width="16.00390625" style="0" customWidth="1"/>
    <col min="7" max="7" width="14.140625" style="0" customWidth="1"/>
    <col min="8" max="8" width="13.7109375" style="0" customWidth="1"/>
    <col min="11" max="11" width="12.8515625" style="0" bestFit="1" customWidth="1"/>
  </cols>
  <sheetData>
    <row r="1" spans="2:8" ht="18">
      <c r="B1" s="406" t="s">
        <v>325</v>
      </c>
      <c r="C1" s="406"/>
      <c r="D1" s="406"/>
      <c r="E1" s="406"/>
      <c r="F1" s="406"/>
      <c r="G1" s="406"/>
      <c r="H1" s="406"/>
    </row>
    <row r="2" spans="2:8" ht="15.75">
      <c r="B2" s="407" t="s">
        <v>326</v>
      </c>
      <c r="C2" s="407"/>
      <c r="D2" s="407"/>
      <c r="E2" s="407"/>
      <c r="F2" s="407"/>
      <c r="G2" s="407"/>
      <c r="H2" s="407"/>
    </row>
    <row r="3" spans="2:8" ht="15.75">
      <c r="B3" s="407" t="s">
        <v>527</v>
      </c>
      <c r="C3" s="407"/>
      <c r="D3" s="407"/>
      <c r="E3" s="407"/>
      <c r="F3" s="407"/>
      <c r="G3" s="407"/>
      <c r="H3" s="407"/>
    </row>
    <row r="5" spans="2:8" ht="12.75">
      <c r="B5" s="92" t="s">
        <v>31</v>
      </c>
      <c r="C5" s="95"/>
      <c r="D5" s="94" t="s">
        <v>46</v>
      </c>
      <c r="E5" s="59" t="s">
        <v>46</v>
      </c>
      <c r="F5" s="410" t="s">
        <v>66</v>
      </c>
      <c r="G5" s="60" t="s">
        <v>54</v>
      </c>
      <c r="H5" s="13" t="s">
        <v>40</v>
      </c>
    </row>
    <row r="6" spans="2:8" ht="12.75">
      <c r="B6" s="98"/>
      <c r="C6" s="99"/>
      <c r="D6" s="40" t="s">
        <v>47</v>
      </c>
      <c r="E6" s="61" t="s">
        <v>6</v>
      </c>
      <c r="F6" s="411"/>
      <c r="G6" s="62" t="s">
        <v>55</v>
      </c>
      <c r="H6" s="58" t="s">
        <v>35</v>
      </c>
    </row>
    <row r="7" spans="2:8" ht="12.75">
      <c r="B7" s="82"/>
      <c r="C7" s="96"/>
      <c r="D7" s="44"/>
      <c r="E7" s="35"/>
      <c r="F7" s="45"/>
      <c r="G7" s="35"/>
      <c r="H7" s="38"/>
    </row>
    <row r="8" spans="2:8" ht="12.75">
      <c r="B8" s="93" t="s">
        <v>400</v>
      </c>
      <c r="C8" s="97"/>
      <c r="D8" s="24">
        <v>48500000</v>
      </c>
      <c r="E8" s="34">
        <v>106700000</v>
      </c>
      <c r="F8" s="24">
        <v>68775938</v>
      </c>
      <c r="G8" s="34">
        <v>-466432783</v>
      </c>
      <c r="H8" s="46">
        <f>G8+F8+E8+D8</f>
        <v>-242456845</v>
      </c>
    </row>
    <row r="9" spans="2:8" ht="12.75">
      <c r="B9" s="82"/>
      <c r="C9" s="96"/>
      <c r="D9" s="24"/>
      <c r="E9" s="34"/>
      <c r="F9" s="24"/>
      <c r="G9" s="34"/>
      <c r="H9" s="46"/>
    </row>
    <row r="10" spans="2:8" ht="12.75">
      <c r="B10" s="111" t="s">
        <v>29</v>
      </c>
      <c r="C10" s="96"/>
      <c r="D10" s="24">
        <v>0</v>
      </c>
      <c r="E10" s="34">
        <v>0</v>
      </c>
      <c r="F10" s="24">
        <v>0</v>
      </c>
      <c r="G10" s="34">
        <f>PL!J31</f>
        <v>-6391695</v>
      </c>
      <c r="H10" s="46">
        <f>SUM(D10:G10)</f>
        <v>-6391695</v>
      </c>
    </row>
    <row r="11" spans="2:8" ht="12.75">
      <c r="B11" s="82" t="s">
        <v>522</v>
      </c>
      <c r="C11" s="96"/>
      <c r="D11" s="24"/>
      <c r="E11" s="34"/>
      <c r="F11" s="24"/>
      <c r="G11" s="34">
        <f>'N-4'!Q39</f>
        <v>0</v>
      </c>
      <c r="H11" s="46">
        <f>SUM(D11:G11)</f>
        <v>0</v>
      </c>
    </row>
    <row r="12" spans="2:8" ht="12.75">
      <c r="B12" s="93" t="s">
        <v>74</v>
      </c>
      <c r="C12" s="97"/>
      <c r="D12" s="24">
        <v>0</v>
      </c>
      <c r="E12" s="34">
        <v>0</v>
      </c>
      <c r="F12" s="24">
        <f>-'N-4'!Q23</f>
        <v>-3123436</v>
      </c>
      <c r="G12" s="34">
        <v>3123436</v>
      </c>
      <c r="H12" s="46">
        <f>SUM(D12:G12)</f>
        <v>0</v>
      </c>
    </row>
    <row r="13" spans="2:8" ht="12.75">
      <c r="B13" s="93"/>
      <c r="C13" s="97"/>
      <c r="D13" s="24"/>
      <c r="E13" s="34"/>
      <c r="F13" s="24"/>
      <c r="G13" s="34"/>
      <c r="H13" s="46">
        <f>SUM(D13:G13)</f>
        <v>0</v>
      </c>
    </row>
    <row r="14" spans="2:8" ht="15">
      <c r="B14" s="373" t="s">
        <v>495</v>
      </c>
      <c r="C14" s="96"/>
      <c r="D14" s="191"/>
      <c r="E14" s="192"/>
      <c r="F14" s="191"/>
      <c r="G14" s="192">
        <v>2131492</v>
      </c>
      <c r="H14" s="193">
        <f>SUM(D14:G14)</f>
        <v>2131492</v>
      </c>
    </row>
    <row r="15" spans="2:8" ht="13.5" thickBot="1">
      <c r="B15" s="127" t="s">
        <v>401</v>
      </c>
      <c r="C15" s="128"/>
      <c r="D15" s="129">
        <f>SUM(D8:D14)</f>
        <v>48500000</v>
      </c>
      <c r="E15" s="130">
        <f>SUM(E8:E14)</f>
        <v>106700000</v>
      </c>
      <c r="F15" s="130">
        <f>SUM(F8:F14)</f>
        <v>65652502</v>
      </c>
      <c r="G15" s="130">
        <f>SUM(G8:G14)</f>
        <v>-467569550</v>
      </c>
      <c r="H15" s="131">
        <f>SUM(H8:H14)</f>
        <v>-246717048</v>
      </c>
    </row>
    <row r="16" ht="13.5" thickTop="1">
      <c r="B16" s="82"/>
    </row>
    <row r="17" ht="12.75">
      <c r="B17" s="82"/>
    </row>
    <row r="18" spans="2:8" ht="12.75">
      <c r="B18" s="92" t="s">
        <v>31</v>
      </c>
      <c r="C18" s="95"/>
      <c r="D18" s="59" t="s">
        <v>46</v>
      </c>
      <c r="E18" s="59" t="s">
        <v>46</v>
      </c>
      <c r="F18" s="410" t="s">
        <v>66</v>
      </c>
      <c r="G18" s="60" t="s">
        <v>54</v>
      </c>
      <c r="H18" s="13" t="s">
        <v>40</v>
      </c>
    </row>
    <row r="19" spans="2:8" ht="12.75">
      <c r="B19" s="98"/>
      <c r="C19" s="99"/>
      <c r="D19" s="61" t="s">
        <v>47</v>
      </c>
      <c r="E19" s="61" t="s">
        <v>6</v>
      </c>
      <c r="F19" s="411"/>
      <c r="G19" s="62" t="s">
        <v>55</v>
      </c>
      <c r="H19" s="58" t="s">
        <v>35</v>
      </c>
    </row>
    <row r="20" spans="2:8" ht="12.75">
      <c r="B20" s="82"/>
      <c r="C20" s="96"/>
      <c r="D20" s="44"/>
      <c r="E20" s="35"/>
      <c r="F20" s="45"/>
      <c r="G20" s="35"/>
      <c r="H20" s="38"/>
    </row>
    <row r="21" spans="2:8" ht="12.75">
      <c r="B21" s="93" t="s">
        <v>528</v>
      </c>
      <c r="C21" s="97"/>
      <c r="D21" s="22">
        <v>48500000</v>
      </c>
      <c r="E21" s="179">
        <f>E15</f>
        <v>106700000</v>
      </c>
      <c r="F21" s="179">
        <f>F15</f>
        <v>65652502</v>
      </c>
      <c r="G21" s="34">
        <f>G15</f>
        <v>-467569550</v>
      </c>
      <c r="H21" s="46">
        <f>SUM(D21:G21)</f>
        <v>-246717048</v>
      </c>
    </row>
    <row r="22" spans="2:8" ht="12.75">
      <c r="B22" s="82"/>
      <c r="C22" s="96"/>
      <c r="D22" s="24"/>
      <c r="E22" s="179"/>
      <c r="F22" s="34"/>
      <c r="G22" s="34"/>
      <c r="H22" s="46"/>
    </row>
    <row r="23" spans="2:8" ht="12.75">
      <c r="B23" s="111" t="s">
        <v>29</v>
      </c>
      <c r="C23" s="96"/>
      <c r="D23" s="24">
        <v>0</v>
      </c>
      <c r="E23" s="179">
        <v>0</v>
      </c>
      <c r="F23" s="34">
        <v>0</v>
      </c>
      <c r="G23" s="34">
        <f>PL!G31</f>
        <v>-8775265.47999999</v>
      </c>
      <c r="H23" s="46">
        <f>SUM(D23:G23)</f>
        <v>-8775265.47999999</v>
      </c>
    </row>
    <row r="24" spans="2:11" ht="12.75">
      <c r="B24" s="82"/>
      <c r="C24" s="96"/>
      <c r="D24" s="24"/>
      <c r="E24" s="179"/>
      <c r="F24" s="34"/>
      <c r="G24" s="34"/>
      <c r="H24" s="46"/>
      <c r="K24">
        <v>65652502</v>
      </c>
    </row>
    <row r="25" spans="2:11" ht="12.75">
      <c r="B25" s="93" t="s">
        <v>74</v>
      </c>
      <c r="C25" s="97"/>
      <c r="D25" s="24">
        <v>0</v>
      </c>
      <c r="E25" s="179">
        <v>0</v>
      </c>
      <c r="F25" s="34">
        <f>-'N-4'!O23</f>
        <v>-2811091</v>
      </c>
      <c r="G25" s="34">
        <f>'N-4'!O37</f>
        <v>2811091</v>
      </c>
      <c r="H25" s="46">
        <f>SUM(D25:G25)</f>
        <v>0</v>
      </c>
      <c r="K25">
        <v>62841411</v>
      </c>
    </row>
    <row r="26" spans="2:11" ht="12.75">
      <c r="B26" s="93"/>
      <c r="C26" s="97"/>
      <c r="D26" s="24"/>
      <c r="E26" s="179"/>
      <c r="F26" s="34"/>
      <c r="G26" s="34"/>
      <c r="H26" s="46"/>
      <c r="K26">
        <f>K24-K25</f>
        <v>2811091</v>
      </c>
    </row>
    <row r="27" spans="2:8" ht="12.75">
      <c r="B27" s="373" t="s">
        <v>495</v>
      </c>
      <c r="C27" s="97"/>
      <c r="D27" s="24">
        <v>0</v>
      </c>
      <c r="E27" s="179">
        <v>0</v>
      </c>
      <c r="F27" s="34">
        <v>0</v>
      </c>
      <c r="G27" s="34">
        <f>'N-4'!O38</f>
        <v>0</v>
      </c>
      <c r="H27" s="46">
        <f>SUM(D27:G27)</f>
        <v>0</v>
      </c>
    </row>
    <row r="28" spans="2:11" ht="12.75">
      <c r="B28" s="82"/>
      <c r="C28" s="96"/>
      <c r="D28" s="24"/>
      <c r="E28" s="179"/>
      <c r="F28" s="37"/>
      <c r="G28" s="37"/>
      <c r="H28" s="46"/>
      <c r="K28">
        <v>255490013</v>
      </c>
    </row>
    <row r="29" spans="2:11" ht="13.5" thickBot="1">
      <c r="B29" s="127" t="s">
        <v>529</v>
      </c>
      <c r="C29" s="128"/>
      <c r="D29" s="119">
        <f>SUM(D21:D27)</f>
        <v>48500000</v>
      </c>
      <c r="E29" s="119">
        <f>SUM(E21:E27)</f>
        <v>106700000</v>
      </c>
      <c r="F29" s="119">
        <f>SUM(F21:F27)</f>
        <v>62841411</v>
      </c>
      <c r="G29" s="119">
        <f>SUM(G21:G27)</f>
        <v>-473533724.48</v>
      </c>
      <c r="H29" s="55">
        <f>SUM(H21:H27)</f>
        <v>-255492313.48</v>
      </c>
      <c r="K29" s="19">
        <f>H29</f>
        <v>-255492313.48</v>
      </c>
    </row>
    <row r="30" spans="7:11" ht="13.5" thickTop="1">
      <c r="G30" s="19"/>
      <c r="H30" s="19"/>
      <c r="K30" s="19">
        <f>K28+K29</f>
        <v>-2300.479999989271</v>
      </c>
    </row>
    <row r="31" spans="2:8" ht="12.75">
      <c r="B31" t="s">
        <v>33</v>
      </c>
      <c r="F31" s="3"/>
      <c r="G31" s="5"/>
      <c r="H31" s="5"/>
    </row>
    <row r="32" spans="6:8" ht="12.75">
      <c r="F32" s="3"/>
      <c r="G32" s="5"/>
      <c r="H32" s="5"/>
    </row>
    <row r="33" spans="6:8" ht="12.75">
      <c r="F33" s="3"/>
      <c r="G33" s="5"/>
      <c r="H33" s="5"/>
    </row>
    <row r="34" spans="6:8" ht="12.75">
      <c r="F34" s="3"/>
      <c r="G34" s="5"/>
      <c r="H34" s="5"/>
    </row>
    <row r="35" spans="2:11" ht="12.75">
      <c r="B35" s="236" t="s">
        <v>613</v>
      </c>
      <c r="C35" s="368"/>
      <c r="D35" s="368"/>
      <c r="E35" s="368" t="s">
        <v>332</v>
      </c>
      <c r="F35" s="3"/>
      <c r="G35" s="236" t="s">
        <v>614</v>
      </c>
      <c r="H35" s="1"/>
      <c r="J35" s="237"/>
      <c r="K35" s="237"/>
    </row>
    <row r="36" spans="2:12" ht="12.75">
      <c r="B36" s="379" t="s">
        <v>283</v>
      </c>
      <c r="C36" s="381"/>
      <c r="D36" s="381"/>
      <c r="E36" s="408" t="s">
        <v>241</v>
      </c>
      <c r="F36" s="408"/>
      <c r="G36" s="379" t="s">
        <v>594</v>
      </c>
      <c r="I36" s="381"/>
      <c r="J36" s="381"/>
      <c r="K36" s="381"/>
      <c r="L36" s="381"/>
    </row>
    <row r="37" spans="2:11" ht="12.75">
      <c r="B37" s="237"/>
      <c r="C37" s="237"/>
      <c r="D37" s="237"/>
      <c r="E37" s="238"/>
      <c r="F37" s="237"/>
      <c r="G37" s="366"/>
      <c r="H37" s="237"/>
      <c r="I37" s="366"/>
      <c r="J37" s="237"/>
      <c r="K37" s="237"/>
    </row>
    <row r="38" spans="1:11" ht="22.5" customHeight="1">
      <c r="A38" s="381"/>
      <c r="B38" s="237"/>
      <c r="C38" s="237"/>
      <c r="D38" s="237"/>
      <c r="E38" s="238"/>
      <c r="F38" s="237"/>
      <c r="G38" s="366"/>
      <c r="H38" s="237"/>
      <c r="I38" s="366"/>
      <c r="J38" s="237"/>
      <c r="K38" s="237"/>
    </row>
    <row r="39" spans="2:11" ht="12.75">
      <c r="B39" s="236" t="s">
        <v>615</v>
      </c>
      <c r="C39" s="237"/>
      <c r="D39" s="237"/>
      <c r="E39" s="238"/>
      <c r="F39" s="237"/>
      <c r="G39" s="366"/>
      <c r="H39" s="237"/>
      <c r="I39" s="366"/>
      <c r="J39" s="237"/>
      <c r="K39" s="237"/>
    </row>
    <row r="40" spans="2:11" ht="12.75">
      <c r="B40" s="409" t="s">
        <v>593</v>
      </c>
      <c r="C40" s="409"/>
      <c r="D40" s="409"/>
      <c r="E40" s="409"/>
      <c r="F40" s="409"/>
      <c r="G40" s="237"/>
      <c r="H40" s="237"/>
      <c r="I40" s="366"/>
      <c r="J40" s="237"/>
      <c r="K40" s="237"/>
    </row>
    <row r="41" spans="6:7" ht="12.75">
      <c r="F41" s="7" t="s">
        <v>589</v>
      </c>
      <c r="G41" s="7"/>
    </row>
    <row r="42" spans="6:7" ht="12.75">
      <c r="F42" t="s">
        <v>590</v>
      </c>
      <c r="G42" s="7"/>
    </row>
    <row r="43" spans="6:8" ht="12.75">
      <c r="F43" s="7"/>
      <c r="G43" s="7"/>
      <c r="H43" s="1"/>
    </row>
    <row r="44" spans="6:8" ht="12.75">
      <c r="F44" s="7"/>
      <c r="G44" s="7"/>
      <c r="H44" s="1"/>
    </row>
    <row r="45" spans="6:8" ht="12.75">
      <c r="F45" s="7"/>
      <c r="G45" s="7"/>
      <c r="H45" s="1"/>
    </row>
    <row r="46" spans="2:8" ht="12.75">
      <c r="B46" s="1" t="s">
        <v>28</v>
      </c>
      <c r="C46" s="1"/>
      <c r="E46" s="1"/>
      <c r="F46" s="1" t="s">
        <v>587</v>
      </c>
      <c r="G46" s="7"/>
      <c r="H46" s="1"/>
    </row>
    <row r="47" spans="2:7" ht="12.75">
      <c r="B47" s="126" t="s">
        <v>618</v>
      </c>
      <c r="C47" s="1"/>
      <c r="E47" s="1"/>
      <c r="F47" s="1" t="s">
        <v>34</v>
      </c>
      <c r="G47" s="7"/>
    </row>
    <row r="48" spans="2:9" ht="12.75">
      <c r="B48" s="7"/>
      <c r="C48" s="7"/>
      <c r="D48" s="15"/>
      <c r="E48" s="15"/>
      <c r="F48" s="7"/>
      <c r="G48" s="7"/>
      <c r="H48" s="7"/>
      <c r="I48" s="7"/>
    </row>
    <row r="49" spans="2:9" ht="12.75">
      <c r="B49" s="7"/>
      <c r="C49" s="7"/>
      <c r="D49" s="15"/>
      <c r="E49" s="15"/>
      <c r="F49" s="7"/>
      <c r="G49" s="7"/>
      <c r="H49" s="7"/>
      <c r="I49" s="7"/>
    </row>
    <row r="50" spans="2:9" ht="12.75">
      <c r="B50" s="7"/>
      <c r="C50" s="7"/>
      <c r="D50" s="15"/>
      <c r="E50" s="15"/>
      <c r="F50" s="7"/>
      <c r="G50" s="7"/>
      <c r="H50" s="7"/>
      <c r="I50" s="7"/>
    </row>
    <row r="51" spans="2:9" ht="12.75">
      <c r="B51" s="7"/>
      <c r="C51" s="7"/>
      <c r="D51" s="15"/>
      <c r="E51" s="15"/>
      <c r="F51" s="7"/>
      <c r="G51" s="7"/>
      <c r="H51" s="7"/>
      <c r="I51" s="7"/>
    </row>
  </sheetData>
  <sheetProtection/>
  <mergeCells count="7">
    <mergeCell ref="B40:F40"/>
    <mergeCell ref="B1:H1"/>
    <mergeCell ref="B2:H2"/>
    <mergeCell ref="B3:H3"/>
    <mergeCell ref="F18:F19"/>
    <mergeCell ref="F5:F6"/>
    <mergeCell ref="E36:F36"/>
  </mergeCells>
  <printOptions horizontalCentered="1"/>
  <pageMargins left="0.5" right="0.5" top="1" bottom="1" header="0.5" footer="0.5"/>
  <pageSetup firstPageNumber="8" useFirstPageNumber="1" horizontalDpi="600" verticalDpi="600" orientation="portrait" paperSize="9" scale="90" r:id="rId1"/>
  <headerFooter alignWithMargins="0">
    <oddHeader>&amp;RHAQUE SHAH ALAM MANSUR &amp;&amp; CO.
Chartered Accountants</oddHeader>
    <oddFooter>&amp;C&amp;P</oddFooter>
  </headerFooter>
</worksheet>
</file>

<file path=xl/worksheets/sheet6.xml><?xml version="1.0" encoding="utf-8"?>
<worksheet xmlns="http://schemas.openxmlformats.org/spreadsheetml/2006/main" xmlns:r="http://schemas.openxmlformats.org/officeDocument/2006/relationships">
  <dimension ref="B1:O51"/>
  <sheetViews>
    <sheetView tabSelected="1" workbookViewId="0" topLeftCell="A31">
      <selection activeCell="B52" sqref="B52"/>
    </sheetView>
  </sheetViews>
  <sheetFormatPr defaultColWidth="9.140625" defaultRowHeight="12.75"/>
  <cols>
    <col min="1" max="1" width="1.421875" style="7" customWidth="1"/>
    <col min="2" max="2" width="18.28125" style="7" customWidth="1"/>
    <col min="3" max="3" width="7.28125" style="7" customWidth="1"/>
    <col min="4" max="4" width="10.7109375" style="7" customWidth="1"/>
    <col min="5" max="5" width="4.140625" style="7" customWidth="1"/>
    <col min="6" max="6" width="5.57421875" style="15" customWidth="1"/>
    <col min="7" max="7" width="1.1484375" style="15" customWidth="1"/>
    <col min="8" max="8" width="12.8515625" style="7" bestFit="1" customWidth="1"/>
    <col min="9" max="10" width="1.1484375" style="7" customWidth="1"/>
    <col min="11" max="11" width="12.7109375" style="7" customWidth="1"/>
    <col min="12" max="12" width="1.28515625" style="7" customWidth="1"/>
    <col min="13" max="13" width="1.7109375" style="7" customWidth="1"/>
    <col min="14" max="14" width="3.28125" style="7" customWidth="1"/>
    <col min="15" max="15" width="18.28125" style="7" customWidth="1"/>
    <col min="16" max="16384" width="9.140625" style="7" customWidth="1"/>
  </cols>
  <sheetData>
    <row r="1" spans="2:11" ht="18">
      <c r="B1" s="406" t="s">
        <v>325</v>
      </c>
      <c r="C1" s="406"/>
      <c r="D1" s="406"/>
      <c r="E1" s="406"/>
      <c r="F1" s="406"/>
      <c r="G1" s="406"/>
      <c r="H1" s="406"/>
      <c r="I1" s="406"/>
      <c r="J1" s="406"/>
      <c r="K1" s="406"/>
    </row>
    <row r="2" spans="2:11" ht="15.75">
      <c r="B2" s="407" t="s">
        <v>399</v>
      </c>
      <c r="C2" s="407"/>
      <c r="D2" s="407"/>
      <c r="E2" s="407"/>
      <c r="F2" s="407"/>
      <c r="G2" s="407"/>
      <c r="H2" s="407"/>
      <c r="I2" s="407"/>
      <c r="J2" s="407"/>
      <c r="K2" s="407"/>
    </row>
    <row r="3" spans="2:11" ht="15.75">
      <c r="B3" s="407" t="s">
        <v>527</v>
      </c>
      <c r="C3" s="407"/>
      <c r="D3" s="407"/>
      <c r="E3" s="407"/>
      <c r="F3" s="407"/>
      <c r="G3" s="407"/>
      <c r="H3" s="407"/>
      <c r="I3" s="407"/>
      <c r="J3" s="407"/>
      <c r="K3" s="407"/>
    </row>
    <row r="4" spans="2:5" ht="12.75">
      <c r="B4" s="18"/>
      <c r="C4" s="18"/>
      <c r="D4" s="18"/>
      <c r="E4" s="18"/>
    </row>
    <row r="5" spans="2:12" ht="12.75">
      <c r="B5" s="92" t="s">
        <v>31</v>
      </c>
      <c r="C5" s="201"/>
      <c r="D5" s="201"/>
      <c r="E5" s="95"/>
      <c r="F5" s="13" t="s">
        <v>285</v>
      </c>
      <c r="G5" s="59"/>
      <c r="H5" s="94">
        <v>2015</v>
      </c>
      <c r="I5" s="60"/>
      <c r="J5" s="59"/>
      <c r="K5" s="94">
        <v>2014</v>
      </c>
      <c r="L5" s="213"/>
    </row>
    <row r="6" spans="2:12" ht="12.75">
      <c r="B6" s="202"/>
      <c r="C6" s="203"/>
      <c r="D6" s="203"/>
      <c r="E6" s="204"/>
      <c r="F6" s="284"/>
      <c r="G6" s="285"/>
      <c r="H6" s="206" t="s">
        <v>35</v>
      </c>
      <c r="I6" s="207"/>
      <c r="J6" s="209"/>
      <c r="K6" s="206" t="s">
        <v>35</v>
      </c>
      <c r="L6" s="204"/>
    </row>
    <row r="7" spans="2:12" ht="3" customHeight="1">
      <c r="B7" s="211"/>
      <c r="C7" s="212"/>
      <c r="D7" s="212"/>
      <c r="E7" s="213"/>
      <c r="F7" s="286"/>
      <c r="G7" s="283"/>
      <c r="H7" s="247"/>
      <c r="I7" s="248"/>
      <c r="J7" s="297"/>
      <c r="K7" s="247"/>
      <c r="L7" s="97"/>
    </row>
    <row r="8" spans="2:12" ht="12.75">
      <c r="B8" s="214" t="s">
        <v>41</v>
      </c>
      <c r="C8" s="25"/>
      <c r="D8" s="25"/>
      <c r="E8" s="215"/>
      <c r="F8" s="287"/>
      <c r="G8" s="283"/>
      <c r="H8" s="28"/>
      <c r="I8" s="244"/>
      <c r="J8" s="93"/>
      <c r="K8" s="28"/>
      <c r="L8" s="97"/>
    </row>
    <row r="9" spans="2:12" ht="12.75">
      <c r="B9" s="216" t="s">
        <v>7</v>
      </c>
      <c r="C9" s="383"/>
      <c r="D9" s="383"/>
      <c r="E9" s="217"/>
      <c r="F9" s="287"/>
      <c r="H9" s="31">
        <f>PL!G8+'BS'!J12-'BS'!G12</f>
        <v>215999793</v>
      </c>
      <c r="I9" s="292"/>
      <c r="J9" s="93"/>
      <c r="K9" s="31">
        <v>313645787</v>
      </c>
      <c r="L9" s="97"/>
    </row>
    <row r="10" spans="2:12" ht="12.75">
      <c r="B10" s="93" t="s">
        <v>8</v>
      </c>
      <c r="C10" s="27"/>
      <c r="D10" s="27"/>
      <c r="E10" s="97"/>
      <c r="F10" s="287"/>
      <c r="H10" s="20">
        <f>-204265005-50861+60758+700000</f>
        <v>-203555108</v>
      </c>
      <c r="I10" s="293"/>
      <c r="J10" s="93"/>
      <c r="K10" s="20">
        <v>-306320666</v>
      </c>
      <c r="L10" s="97"/>
    </row>
    <row r="11" spans="2:12" ht="12.75">
      <c r="B11" s="93" t="s">
        <v>294</v>
      </c>
      <c r="C11" s="27"/>
      <c r="D11" s="27"/>
      <c r="E11" s="97"/>
      <c r="F11" s="287"/>
      <c r="H11" s="21">
        <v>0</v>
      </c>
      <c r="I11" s="293"/>
      <c r="J11" s="93"/>
      <c r="K11" s="21">
        <v>0</v>
      </c>
      <c r="L11" s="97"/>
    </row>
    <row r="12" spans="2:12" ht="12.75">
      <c r="B12" s="214" t="s">
        <v>48</v>
      </c>
      <c r="C12" s="25"/>
      <c r="D12" s="25"/>
      <c r="E12" s="215"/>
      <c r="F12" s="287"/>
      <c r="G12" s="283"/>
      <c r="H12" s="28">
        <f>SUM(H9:H11)</f>
        <v>12444685</v>
      </c>
      <c r="I12" s="244"/>
      <c r="J12" s="93"/>
      <c r="K12" s="28">
        <f>SUM(K9:K11)</f>
        <v>7325121</v>
      </c>
      <c r="L12" s="97"/>
    </row>
    <row r="13" spans="2:12" ht="7.5" customHeight="1">
      <c r="B13" s="214"/>
      <c r="C13" s="25"/>
      <c r="D13" s="25"/>
      <c r="E13" s="215"/>
      <c r="F13" s="287"/>
      <c r="G13" s="283"/>
      <c r="H13" s="28"/>
      <c r="I13" s="244"/>
      <c r="J13" s="93"/>
      <c r="K13" s="28"/>
      <c r="L13" s="97"/>
    </row>
    <row r="14" spans="2:12" ht="12.75">
      <c r="B14" s="214" t="s">
        <v>42</v>
      </c>
      <c r="C14" s="25"/>
      <c r="D14" s="25"/>
      <c r="E14" s="215"/>
      <c r="F14" s="287"/>
      <c r="G14" s="283"/>
      <c r="H14" s="26"/>
      <c r="I14" s="293"/>
      <c r="J14" s="93"/>
      <c r="K14" s="26"/>
      <c r="L14" s="97"/>
    </row>
    <row r="15" spans="2:12" ht="12.75">
      <c r="B15" s="216" t="s">
        <v>27</v>
      </c>
      <c r="C15" s="383"/>
      <c r="D15" s="383"/>
      <c r="E15" s="217"/>
      <c r="F15" s="287"/>
      <c r="H15" s="112">
        <v>-700000</v>
      </c>
      <c r="I15" s="293"/>
      <c r="J15" s="93"/>
      <c r="K15" s="112">
        <v>0</v>
      </c>
      <c r="L15" s="97"/>
    </row>
    <row r="16" spans="2:12" ht="12.75">
      <c r="B16" s="214" t="s">
        <v>49</v>
      </c>
      <c r="C16" s="25"/>
      <c r="D16" s="25"/>
      <c r="E16" s="215"/>
      <c r="F16" s="287"/>
      <c r="G16" s="283"/>
      <c r="H16" s="28">
        <f>SUM(H15:H15)</f>
        <v>-700000</v>
      </c>
      <c r="I16" s="244"/>
      <c r="J16" s="93"/>
      <c r="K16" s="28">
        <f>SUM(K15:K15)</f>
        <v>0</v>
      </c>
      <c r="L16" s="97"/>
    </row>
    <row r="17" spans="2:12" ht="12.75">
      <c r="B17" s="93"/>
      <c r="C17" s="27"/>
      <c r="D17" s="27"/>
      <c r="E17" s="97"/>
      <c r="F17" s="287"/>
      <c r="G17" s="283"/>
      <c r="H17" s="28"/>
      <c r="I17" s="244"/>
      <c r="J17" s="93"/>
      <c r="K17" s="28"/>
      <c r="L17" s="97"/>
    </row>
    <row r="18" spans="2:14" ht="12.75">
      <c r="B18" s="214" t="s">
        <v>43</v>
      </c>
      <c r="C18" s="25"/>
      <c r="D18" s="25"/>
      <c r="E18" s="215"/>
      <c r="F18" s="287"/>
      <c r="G18" s="283"/>
      <c r="H18" s="27"/>
      <c r="I18" s="97"/>
      <c r="J18" s="93"/>
      <c r="K18" s="27"/>
      <c r="L18" s="97"/>
      <c r="N18" s="23"/>
    </row>
    <row r="19" spans="2:14" ht="12.75">
      <c r="B19" s="93" t="s">
        <v>195</v>
      </c>
      <c r="C19" s="27"/>
      <c r="D19" s="27"/>
      <c r="E19" s="97"/>
      <c r="F19" s="287"/>
      <c r="H19" s="75">
        <f>'BS'!G33-'BS'!J33</f>
        <v>0</v>
      </c>
      <c r="I19" s="293"/>
      <c r="J19" s="223"/>
      <c r="K19" s="75">
        <v>0</v>
      </c>
      <c r="L19" s="97"/>
      <c r="N19" s="23"/>
    </row>
    <row r="20" spans="2:15" ht="12.75">
      <c r="B20" s="93" t="s">
        <v>333</v>
      </c>
      <c r="C20" s="27"/>
      <c r="D20" s="27"/>
      <c r="E20" s="97"/>
      <c r="F20" s="287"/>
      <c r="H20" s="20">
        <v>-13424850</v>
      </c>
      <c r="I20" s="293"/>
      <c r="J20" s="223"/>
      <c r="K20" s="20">
        <v>-13428850</v>
      </c>
      <c r="L20" s="97"/>
      <c r="N20" s="23"/>
      <c r="O20" s="7">
        <f>'N-3'!D19</f>
        <v>4850000</v>
      </c>
    </row>
    <row r="21" spans="2:14" ht="12.75">
      <c r="B21" s="93" t="s">
        <v>194</v>
      </c>
      <c r="C21" s="27"/>
      <c r="D21" s="27"/>
      <c r="E21" s="97"/>
      <c r="F21" s="287"/>
      <c r="H21" s="20">
        <f>'BS'!G35-'BS'!J35</f>
        <v>0</v>
      </c>
      <c r="I21" s="293"/>
      <c r="J21" s="223"/>
      <c r="K21" s="20">
        <v>-360</v>
      </c>
      <c r="L21" s="97"/>
      <c r="N21" s="23"/>
    </row>
    <row r="22" spans="2:14" ht="12.75">
      <c r="B22" s="216" t="s">
        <v>190</v>
      </c>
      <c r="C22" s="383"/>
      <c r="D22" s="383"/>
      <c r="E22" s="97"/>
      <c r="F22" s="287"/>
      <c r="H22" s="21">
        <f>PL!G19</f>
        <v>-89516</v>
      </c>
      <c r="I22" s="293"/>
      <c r="J22" s="93"/>
      <c r="K22" s="21">
        <v>-88596</v>
      </c>
      <c r="L22" s="97"/>
      <c r="N22" s="23"/>
    </row>
    <row r="23" spans="2:14" ht="12.75">
      <c r="B23" s="214" t="s">
        <v>50</v>
      </c>
      <c r="C23" s="25"/>
      <c r="D23" s="25"/>
      <c r="E23" s="215"/>
      <c r="F23" s="287"/>
      <c r="G23" s="283"/>
      <c r="H23" s="28">
        <f>SUM(H19:H22)</f>
        <v>-13514366</v>
      </c>
      <c r="I23" s="244"/>
      <c r="J23" s="93"/>
      <c r="K23" s="28">
        <f>SUM(K19:K22)</f>
        <v>-13517806</v>
      </c>
      <c r="L23" s="97"/>
      <c r="N23" s="23"/>
    </row>
    <row r="24" spans="2:14" ht="12.75">
      <c r="B24" s="93"/>
      <c r="C24" s="27"/>
      <c r="D24" s="27"/>
      <c r="E24" s="97"/>
      <c r="F24" s="284"/>
      <c r="G24" s="283"/>
      <c r="H24" s="28"/>
      <c r="I24" s="244"/>
      <c r="J24" s="93"/>
      <c r="K24" s="28"/>
      <c r="L24" s="97"/>
      <c r="N24" s="23"/>
    </row>
    <row r="25" spans="2:14" ht="12.75">
      <c r="B25" s="127" t="s">
        <v>191</v>
      </c>
      <c r="C25" s="123"/>
      <c r="D25" s="123"/>
      <c r="E25" s="128"/>
      <c r="F25" s="288"/>
      <c r="G25" s="289"/>
      <c r="H25" s="290">
        <f>H12+H16+H23</f>
        <v>-1769681</v>
      </c>
      <c r="I25" s="294"/>
      <c r="J25" s="257"/>
      <c r="K25" s="290">
        <f>K12+K16+K23</f>
        <v>-6192685</v>
      </c>
      <c r="L25" s="258"/>
      <c r="M25" s="23"/>
      <c r="N25" s="23"/>
    </row>
    <row r="26" spans="2:12" ht="4.5" customHeight="1">
      <c r="B26" s="214"/>
      <c r="C26" s="25"/>
      <c r="D26" s="25"/>
      <c r="E26" s="215"/>
      <c r="F26" s="287"/>
      <c r="G26" s="283"/>
      <c r="H26" s="29"/>
      <c r="I26" s="295"/>
      <c r="J26" s="93"/>
      <c r="K26" s="29"/>
      <c r="L26" s="97"/>
    </row>
    <row r="27" spans="2:14" ht="12.75">
      <c r="B27" s="127" t="s">
        <v>367</v>
      </c>
      <c r="C27" s="123"/>
      <c r="D27" s="123"/>
      <c r="E27" s="128"/>
      <c r="F27" s="288"/>
      <c r="G27" s="289"/>
      <c r="H27" s="270">
        <f>+K29</f>
        <v>3026908</v>
      </c>
      <c r="I27" s="271"/>
      <c r="J27" s="257"/>
      <c r="K27" s="270">
        <v>9219593</v>
      </c>
      <c r="L27" s="258"/>
      <c r="M27" s="23"/>
      <c r="N27" s="23"/>
    </row>
    <row r="28" spans="2:12" ht="5.25" customHeight="1">
      <c r="B28" s="214"/>
      <c r="C28" s="25"/>
      <c r="D28" s="25"/>
      <c r="E28" s="215"/>
      <c r="F28" s="287"/>
      <c r="H28" s="30"/>
      <c r="I28" s="296"/>
      <c r="J28" s="93"/>
      <c r="K28" s="30"/>
      <c r="L28" s="97"/>
    </row>
    <row r="29" spans="2:14" ht="12.75">
      <c r="B29" s="127" t="s">
        <v>368</v>
      </c>
      <c r="C29" s="123"/>
      <c r="D29" s="123"/>
      <c r="E29" s="128"/>
      <c r="F29" s="229"/>
      <c r="G29" s="291"/>
      <c r="H29" s="270">
        <f>H25+H27</f>
        <v>1257227</v>
      </c>
      <c r="I29" s="271"/>
      <c r="J29" s="257"/>
      <c r="K29" s="270">
        <f>K25+K27</f>
        <v>3026908</v>
      </c>
      <c r="L29" s="258"/>
      <c r="M29" s="23"/>
      <c r="N29" s="23"/>
    </row>
    <row r="30" spans="2:11" ht="3.75" customHeight="1">
      <c r="B30" s="214"/>
      <c r="C30" s="25"/>
      <c r="D30" s="25"/>
      <c r="E30" s="215"/>
      <c r="F30" s="299"/>
      <c r="G30" s="6"/>
      <c r="H30" s="30"/>
      <c r="I30" s="30"/>
      <c r="J30" s="257"/>
      <c r="K30" s="30"/>
    </row>
    <row r="31" spans="2:14" ht="12.75">
      <c r="B31" s="127" t="s">
        <v>284</v>
      </c>
      <c r="C31" s="123"/>
      <c r="D31" s="123"/>
      <c r="E31" s="128"/>
      <c r="F31" s="235">
        <v>26</v>
      </c>
      <c r="G31" s="234"/>
      <c r="H31" s="298">
        <f>'N-5'!G157</f>
        <v>2.5659144329896906</v>
      </c>
      <c r="I31" s="298"/>
      <c r="J31" s="257"/>
      <c r="K31" s="298">
        <f>'N-5'!I157</f>
        <v>1.5103342268041238</v>
      </c>
      <c r="L31" s="258"/>
      <c r="N31" s="23"/>
    </row>
    <row r="32" spans="8:14" ht="12.75">
      <c r="H32" s="32"/>
      <c r="I32" s="32"/>
      <c r="K32" s="23"/>
      <c r="N32" s="16"/>
    </row>
    <row r="33" spans="8:14" ht="12.75">
      <c r="H33" s="32"/>
      <c r="I33" s="32"/>
      <c r="K33" s="23"/>
      <c r="N33" s="23"/>
    </row>
    <row r="34" spans="2:11" ht="12.75">
      <c r="B34" t="s">
        <v>33</v>
      </c>
      <c r="C34"/>
      <c r="D34"/>
      <c r="E34"/>
      <c r="F34"/>
      <c r="G34"/>
      <c r="H34"/>
      <c r="I34"/>
      <c r="J34"/>
      <c r="K34"/>
    </row>
    <row r="35" spans="2:11" ht="12.75">
      <c r="B35"/>
      <c r="C35"/>
      <c r="D35"/>
      <c r="E35"/>
      <c r="F35"/>
      <c r="G35"/>
      <c r="H35"/>
      <c r="I35"/>
      <c r="J35"/>
      <c r="K35"/>
    </row>
    <row r="36" spans="2:11" ht="12.75">
      <c r="B36"/>
      <c r="C36"/>
      <c r="D36"/>
      <c r="E36"/>
      <c r="F36"/>
      <c r="G36"/>
      <c r="H36"/>
      <c r="I36"/>
      <c r="J36"/>
      <c r="K36"/>
    </row>
    <row r="37" spans="2:11" ht="12.75">
      <c r="B37"/>
      <c r="C37"/>
      <c r="D37"/>
      <c r="E37"/>
      <c r="F37"/>
      <c r="G37"/>
      <c r="H37"/>
      <c r="I37"/>
      <c r="J37"/>
      <c r="K37"/>
    </row>
    <row r="38" spans="2:12" ht="12.75">
      <c r="B38" s="236" t="s">
        <v>613</v>
      </c>
      <c r="C38" s="368"/>
      <c r="D38" s="368"/>
      <c r="E38" s="368" t="s">
        <v>332</v>
      </c>
      <c r="F38" s="3"/>
      <c r="G38"/>
      <c r="H38" s="1"/>
      <c r="I38" s="236" t="s">
        <v>614</v>
      </c>
      <c r="J38" s="237"/>
      <c r="K38" s="237"/>
      <c r="L38"/>
    </row>
    <row r="39" spans="2:12" ht="12.75">
      <c r="B39" s="379" t="s">
        <v>283</v>
      </c>
      <c r="C39" s="381"/>
      <c r="D39" s="381"/>
      <c r="E39" s="408" t="s">
        <v>241</v>
      </c>
      <c r="F39" s="408"/>
      <c r="G39" s="381"/>
      <c r="I39" s="379" t="s">
        <v>594</v>
      </c>
      <c r="J39" s="381"/>
      <c r="K39" s="381"/>
      <c r="L39" s="381"/>
    </row>
    <row r="40" spans="2:12" ht="12.75">
      <c r="B40" s="237"/>
      <c r="C40" s="237"/>
      <c r="D40" s="237"/>
      <c r="E40" s="238"/>
      <c r="F40" s="237"/>
      <c r="G40" s="366"/>
      <c r="H40" s="237"/>
      <c r="I40" s="366"/>
      <c r="J40" s="237"/>
      <c r="K40" s="237"/>
      <c r="L40"/>
    </row>
    <row r="41" spans="2:12" ht="12.75">
      <c r="B41" s="237"/>
      <c r="C41" s="237"/>
      <c r="D41" s="237"/>
      <c r="E41" s="238"/>
      <c r="F41" s="237"/>
      <c r="G41" s="366"/>
      <c r="H41" s="237"/>
      <c r="I41" s="366"/>
      <c r="J41" s="237"/>
      <c r="K41" s="237"/>
      <c r="L41"/>
    </row>
    <row r="42" spans="2:12" ht="12.75" customHeight="1">
      <c r="B42" s="236" t="s">
        <v>615</v>
      </c>
      <c r="C42" s="237"/>
      <c r="D42" s="237"/>
      <c r="E42" s="238"/>
      <c r="F42" s="237"/>
      <c r="G42" s="366"/>
      <c r="H42" s="237"/>
      <c r="I42" s="366"/>
      <c r="J42" s="237"/>
      <c r="K42" s="237"/>
      <c r="L42"/>
    </row>
    <row r="43" spans="2:12" ht="12.75">
      <c r="B43" s="409" t="s">
        <v>593</v>
      </c>
      <c r="C43" s="409"/>
      <c r="D43" s="409"/>
      <c r="E43" s="409"/>
      <c r="F43" s="409"/>
      <c r="G43" s="237"/>
      <c r="H43" s="237"/>
      <c r="I43" s="366"/>
      <c r="J43" s="237"/>
      <c r="K43" s="237"/>
      <c r="L43"/>
    </row>
    <row r="44" spans="2:13" s="381" customFormat="1" ht="12.75">
      <c r="B44" s="379"/>
      <c r="C44" s="380"/>
      <c r="D44" s="380"/>
      <c r="E44" s="379"/>
      <c r="F44" s="384"/>
      <c r="G44" s="385"/>
      <c r="H44" s="386"/>
      <c r="I44" s="409"/>
      <c r="J44" s="409"/>
      <c r="K44" s="409"/>
      <c r="L44" s="409"/>
      <c r="M44" s="409"/>
    </row>
    <row r="45" spans="2:11" ht="12.75">
      <c r="B45"/>
      <c r="C45"/>
      <c r="D45"/>
      <c r="E45" s="7" t="s">
        <v>588</v>
      </c>
      <c r="F45"/>
      <c r="G45"/>
      <c r="J45"/>
      <c r="K45"/>
    </row>
    <row r="46" spans="2:11" ht="12.75">
      <c r="B46"/>
      <c r="C46"/>
      <c r="D46"/>
      <c r="E46" t="s">
        <v>573</v>
      </c>
      <c r="F46"/>
      <c r="G46"/>
      <c r="J46"/>
      <c r="K46"/>
    </row>
    <row r="47" spans="2:11" ht="12.75">
      <c r="B47"/>
      <c r="C47"/>
      <c r="D47"/>
      <c r="E47"/>
      <c r="F47"/>
      <c r="G47"/>
      <c r="J47" s="1"/>
      <c r="K47"/>
    </row>
    <row r="48" spans="2:11" ht="12.75">
      <c r="B48"/>
      <c r="C48"/>
      <c r="D48"/>
      <c r="E48"/>
      <c r="F48"/>
      <c r="G48"/>
      <c r="J48" s="1"/>
      <c r="K48"/>
    </row>
    <row r="49" spans="2:11" ht="12.75">
      <c r="B49"/>
      <c r="C49"/>
      <c r="D49"/>
      <c r="E49"/>
      <c r="F49"/>
      <c r="G49"/>
      <c r="J49" s="1"/>
      <c r="K49"/>
    </row>
    <row r="50" spans="2:11" ht="12.75">
      <c r="B50" s="1" t="s">
        <v>28</v>
      </c>
      <c r="C50" s="1"/>
      <c r="D50" s="1"/>
      <c r="E50" s="1"/>
      <c r="F50" s="1" t="s">
        <v>587</v>
      </c>
      <c r="G50" s="1"/>
      <c r="J50" s="1"/>
      <c r="K50"/>
    </row>
    <row r="51" spans="2:11" ht="12.75">
      <c r="B51" s="126" t="s">
        <v>618</v>
      </c>
      <c r="C51" s="126"/>
      <c r="D51" s="126"/>
      <c r="E51" s="1"/>
      <c r="F51" s="1" t="s">
        <v>34</v>
      </c>
      <c r="G51" s="1"/>
      <c r="J51"/>
      <c r="K51"/>
    </row>
  </sheetData>
  <sheetProtection/>
  <mergeCells count="6">
    <mergeCell ref="B1:K1"/>
    <mergeCell ref="B2:K2"/>
    <mergeCell ref="B3:K3"/>
    <mergeCell ref="I44:M44"/>
    <mergeCell ref="E39:F39"/>
    <mergeCell ref="B43:F43"/>
  </mergeCells>
  <printOptions horizontalCentered="1"/>
  <pageMargins left="0.75" right="0.5" top="1" bottom="1" header="0.5" footer="0.5"/>
  <pageSetup firstPageNumber="9" useFirstPageNumber="1" horizontalDpi="600" verticalDpi="600" orientation="portrait" paperSize="9" r:id="rId1"/>
  <headerFooter alignWithMargins="0">
    <oddHeader>&amp;RHAQUE SHAH ALAM MANSUR &amp;&amp; CO.
Chartered Accountants</oddHeader>
    <oddFooter>&amp;C7</oddFooter>
  </headerFooter>
</worksheet>
</file>

<file path=xl/worksheets/sheet7.xml><?xml version="1.0" encoding="utf-8"?>
<worksheet xmlns="http://schemas.openxmlformats.org/spreadsheetml/2006/main" xmlns:r="http://schemas.openxmlformats.org/officeDocument/2006/relationships">
  <dimension ref="A1:O87"/>
  <sheetViews>
    <sheetView zoomScalePageLayoutView="0" workbookViewId="0" topLeftCell="A58">
      <selection activeCell="F42" sqref="F42:F70"/>
    </sheetView>
  </sheetViews>
  <sheetFormatPr defaultColWidth="9.140625" defaultRowHeight="12.75"/>
  <cols>
    <col min="1" max="1" width="4.7109375" style="15" customWidth="1"/>
    <col min="2" max="2" width="26.421875" style="7" customWidth="1"/>
    <col min="3" max="3" width="12.7109375" style="7" customWidth="1"/>
    <col min="4" max="4" width="12.140625" style="7" customWidth="1"/>
    <col min="5" max="5" width="12.8515625" style="7" customWidth="1"/>
    <col min="6" max="6" width="12.7109375" style="7" customWidth="1"/>
    <col min="7" max="7" width="5.7109375" style="7" customWidth="1"/>
    <col min="8" max="8" width="12.7109375" style="7" customWidth="1"/>
    <col min="9" max="10" width="12.421875" style="7" customWidth="1"/>
    <col min="11" max="11" width="12.7109375" style="7" customWidth="1"/>
    <col min="12" max="13" width="11.7109375" style="7" customWidth="1"/>
    <col min="14" max="14" width="12.7109375" style="7" customWidth="1"/>
    <col min="15" max="15" width="14.421875" style="7" customWidth="1"/>
    <col min="16" max="16384" width="9.140625" style="7" customWidth="1"/>
  </cols>
  <sheetData>
    <row r="1" spans="1:12" ht="12.75">
      <c r="A1" s="39" t="s">
        <v>16</v>
      </c>
      <c r="B1" s="41" t="s">
        <v>524</v>
      </c>
      <c r="C1" s="41"/>
      <c r="D1" s="41"/>
      <c r="E1" s="110"/>
      <c r="F1" s="105"/>
      <c r="G1" s="8"/>
      <c r="H1" s="8"/>
      <c r="I1" s="8"/>
      <c r="J1" s="8"/>
      <c r="K1" s="42"/>
      <c r="L1" s="42"/>
    </row>
    <row r="2" spans="2:12" ht="16.5" customHeight="1">
      <c r="B2" s="76"/>
      <c r="C2" s="47"/>
      <c r="D2" s="27"/>
      <c r="E2" s="27"/>
      <c r="F2" s="27"/>
      <c r="G2" s="27"/>
      <c r="H2" s="27"/>
      <c r="I2" s="27"/>
      <c r="J2" s="27"/>
      <c r="K2" s="27"/>
      <c r="L2" s="27"/>
    </row>
    <row r="3" spans="2:14" ht="12.75">
      <c r="B3" s="13"/>
      <c r="C3" s="412" t="s">
        <v>297</v>
      </c>
      <c r="D3" s="413"/>
      <c r="E3" s="413"/>
      <c r="F3" s="414"/>
      <c r="G3" s="412" t="s">
        <v>180</v>
      </c>
      <c r="H3" s="413"/>
      <c r="I3" s="413"/>
      <c r="J3" s="413"/>
      <c r="K3" s="414"/>
      <c r="L3" s="13" t="s">
        <v>75</v>
      </c>
      <c r="M3" s="13" t="s">
        <v>299</v>
      </c>
      <c r="N3" s="13" t="s">
        <v>100</v>
      </c>
    </row>
    <row r="4" spans="2:14" ht="12.75">
      <c r="B4" s="58" t="s">
        <v>31</v>
      </c>
      <c r="C4" s="13" t="s">
        <v>76</v>
      </c>
      <c r="D4" s="13" t="s">
        <v>97</v>
      </c>
      <c r="E4" s="13" t="s">
        <v>77</v>
      </c>
      <c r="F4" s="13" t="s">
        <v>76</v>
      </c>
      <c r="G4" s="13" t="s">
        <v>261</v>
      </c>
      <c r="H4" s="13" t="s">
        <v>76</v>
      </c>
      <c r="I4" s="13" t="s">
        <v>79</v>
      </c>
      <c r="J4" s="13" t="s">
        <v>77</v>
      </c>
      <c r="K4" s="60" t="s">
        <v>76</v>
      </c>
      <c r="L4" s="58" t="s">
        <v>78</v>
      </c>
      <c r="M4" s="58" t="s">
        <v>75</v>
      </c>
      <c r="N4" s="58" t="s">
        <v>101</v>
      </c>
    </row>
    <row r="5" spans="2:14" ht="12.75">
      <c r="B5" s="113"/>
      <c r="C5" s="113" t="s">
        <v>525</v>
      </c>
      <c r="D5" s="115" t="s">
        <v>98</v>
      </c>
      <c r="E5" s="115" t="s">
        <v>98</v>
      </c>
      <c r="F5" s="114" t="s">
        <v>523</v>
      </c>
      <c r="G5" s="113"/>
      <c r="H5" s="113" t="s">
        <v>525</v>
      </c>
      <c r="I5" s="115" t="s">
        <v>98</v>
      </c>
      <c r="J5" s="115" t="s">
        <v>98</v>
      </c>
      <c r="K5" s="116" t="s">
        <v>523</v>
      </c>
      <c r="L5" s="113"/>
      <c r="M5" s="113" t="s">
        <v>99</v>
      </c>
      <c r="N5" s="114" t="s">
        <v>523</v>
      </c>
    </row>
    <row r="6" spans="2:14" ht="12.75">
      <c r="B6" s="117" t="s">
        <v>298</v>
      </c>
      <c r="C6" s="16"/>
      <c r="D6" s="11"/>
      <c r="E6" s="11"/>
      <c r="F6" s="11"/>
      <c r="H6" s="11"/>
      <c r="I6" s="14"/>
      <c r="J6" s="14"/>
      <c r="K6" s="16"/>
      <c r="L6" s="11"/>
      <c r="M6" s="16"/>
      <c r="N6" s="11"/>
    </row>
    <row r="7" spans="2:14" ht="12.75">
      <c r="B7" s="65" t="s">
        <v>80</v>
      </c>
      <c r="C7" s="22">
        <v>1202969</v>
      </c>
      <c r="D7" s="14">
        <v>0</v>
      </c>
      <c r="E7" s="14">
        <v>0</v>
      </c>
      <c r="F7" s="14">
        <f>SUM(C7:E7)</f>
        <v>1202969</v>
      </c>
      <c r="G7" s="16">
        <v>0</v>
      </c>
      <c r="H7" s="14">
        <v>0</v>
      </c>
      <c r="I7" s="14">
        <v>0</v>
      </c>
      <c r="J7" s="14">
        <v>0</v>
      </c>
      <c r="K7" s="14">
        <f>H7+I7</f>
        <v>0</v>
      </c>
      <c r="L7" s="14">
        <v>5278476</v>
      </c>
      <c r="M7" s="16">
        <v>0</v>
      </c>
      <c r="N7" s="14">
        <f>F7-K7+L7-M7</f>
        <v>6481445</v>
      </c>
    </row>
    <row r="8" spans="2:14" ht="12.75">
      <c r="B8" s="66" t="s">
        <v>81</v>
      </c>
      <c r="C8" s="22">
        <v>8350250</v>
      </c>
      <c r="D8" s="14">
        <v>0</v>
      </c>
      <c r="E8" s="14">
        <v>0</v>
      </c>
      <c r="F8" s="14">
        <f aca="true" t="shared" si="0" ref="F8:F68">SUM(C8:E8)</f>
        <v>8350250</v>
      </c>
      <c r="G8" s="100">
        <v>0.1</v>
      </c>
      <c r="H8" s="14">
        <v>7019078</v>
      </c>
      <c r="I8" s="14">
        <f>ROUND((F8-H8)*G8,0)</f>
        <v>133117</v>
      </c>
      <c r="J8" s="14">
        <v>0</v>
      </c>
      <c r="K8" s="14">
        <f aca="true" t="shared" si="1" ref="K8:K70">H8+I8</f>
        <v>7152195</v>
      </c>
      <c r="L8" s="14">
        <f>6696537-669654</f>
        <v>6026883</v>
      </c>
      <c r="M8" s="16">
        <f>ROUND((L8*G8),0)</f>
        <v>602688</v>
      </c>
      <c r="N8" s="14">
        <f aca="true" t="shared" si="2" ref="N8:N68">F8-K8+L8-M8</f>
        <v>6622250</v>
      </c>
    </row>
    <row r="9" spans="2:14" ht="12.75">
      <c r="B9" s="65" t="s">
        <v>82</v>
      </c>
      <c r="C9" s="22">
        <v>107603</v>
      </c>
      <c r="D9" s="14">
        <v>0</v>
      </c>
      <c r="E9" s="14">
        <v>0</v>
      </c>
      <c r="F9" s="14">
        <f t="shared" si="0"/>
        <v>107603</v>
      </c>
      <c r="G9" s="100">
        <v>0.1</v>
      </c>
      <c r="H9" s="14">
        <v>90646</v>
      </c>
      <c r="I9" s="14">
        <f aca="true" t="shared" si="3" ref="I9:I21">ROUND((F9-H9)*G9,0)</f>
        <v>1696</v>
      </c>
      <c r="J9" s="14">
        <v>0</v>
      </c>
      <c r="K9" s="14">
        <f t="shared" si="1"/>
        <v>92342</v>
      </c>
      <c r="L9" s="14">
        <v>0</v>
      </c>
      <c r="M9" s="16">
        <v>0</v>
      </c>
      <c r="N9" s="14">
        <f t="shared" si="2"/>
        <v>15261</v>
      </c>
    </row>
    <row r="10" spans="2:14" ht="12.75">
      <c r="B10" s="65" t="s">
        <v>83</v>
      </c>
      <c r="C10" s="22">
        <v>514668</v>
      </c>
      <c r="D10" s="14">
        <v>0</v>
      </c>
      <c r="E10" s="14">
        <v>0</v>
      </c>
      <c r="F10" s="14">
        <f t="shared" si="0"/>
        <v>514668</v>
      </c>
      <c r="G10" s="100">
        <v>0.15</v>
      </c>
      <c r="H10" s="14">
        <v>476706</v>
      </c>
      <c r="I10" s="14">
        <f t="shared" si="3"/>
        <v>5694</v>
      </c>
      <c r="J10" s="14">
        <v>0</v>
      </c>
      <c r="K10" s="14">
        <f t="shared" si="1"/>
        <v>482400</v>
      </c>
      <c r="L10" s="14">
        <v>0</v>
      </c>
      <c r="M10" s="16">
        <v>0</v>
      </c>
      <c r="N10" s="14">
        <f t="shared" si="2"/>
        <v>32268</v>
      </c>
    </row>
    <row r="11" spans="2:14" ht="12.75">
      <c r="B11" s="65" t="s">
        <v>84</v>
      </c>
      <c r="C11" s="22">
        <v>25760959</v>
      </c>
      <c r="D11" s="14">
        <v>0</v>
      </c>
      <c r="E11" s="14">
        <v>0</v>
      </c>
      <c r="F11" s="14">
        <f t="shared" si="0"/>
        <v>25760959</v>
      </c>
      <c r="G11" s="100">
        <v>0.1</v>
      </c>
      <c r="H11" s="14">
        <v>21643844</v>
      </c>
      <c r="I11" s="14">
        <f t="shared" si="3"/>
        <v>411712</v>
      </c>
      <c r="J11" s="14">
        <v>0</v>
      </c>
      <c r="K11" s="14">
        <f t="shared" si="1"/>
        <v>22055556</v>
      </c>
      <c r="L11" s="14">
        <f>6412573-641257</f>
        <v>5771316</v>
      </c>
      <c r="M11" s="16">
        <f>ROUND((L11*G11),0)</f>
        <v>577132</v>
      </c>
      <c r="N11" s="14">
        <f t="shared" si="2"/>
        <v>8899587</v>
      </c>
    </row>
    <row r="12" spans="2:14" ht="12.75">
      <c r="B12" s="65" t="s">
        <v>85</v>
      </c>
      <c r="C12" s="22">
        <v>1013373</v>
      </c>
      <c r="D12" s="14">
        <v>0</v>
      </c>
      <c r="E12" s="14">
        <v>0</v>
      </c>
      <c r="F12" s="14">
        <f t="shared" si="0"/>
        <v>1013373</v>
      </c>
      <c r="G12" s="100">
        <v>0.1</v>
      </c>
      <c r="H12" s="14">
        <v>716095</v>
      </c>
      <c r="I12" s="14">
        <f t="shared" si="3"/>
        <v>29728</v>
      </c>
      <c r="J12" s="14">
        <v>0</v>
      </c>
      <c r="K12" s="14">
        <f t="shared" si="1"/>
        <v>745823</v>
      </c>
      <c r="L12" s="14">
        <v>0</v>
      </c>
      <c r="M12" s="16">
        <v>0</v>
      </c>
      <c r="N12" s="14">
        <f t="shared" si="2"/>
        <v>267550</v>
      </c>
    </row>
    <row r="13" spans="2:14" ht="12.75">
      <c r="B13" s="65" t="s">
        <v>86</v>
      </c>
      <c r="C13" s="22">
        <v>6584</v>
      </c>
      <c r="D13" s="14">
        <v>0</v>
      </c>
      <c r="E13" s="14">
        <v>0</v>
      </c>
      <c r="F13" s="14">
        <f t="shared" si="0"/>
        <v>6584</v>
      </c>
      <c r="G13" s="100">
        <v>0.1</v>
      </c>
      <c r="H13" s="14">
        <v>5559</v>
      </c>
      <c r="I13" s="14">
        <f t="shared" si="3"/>
        <v>103</v>
      </c>
      <c r="J13" s="14">
        <v>0</v>
      </c>
      <c r="K13" s="14">
        <f t="shared" si="1"/>
        <v>5662</v>
      </c>
      <c r="L13" s="14">
        <v>0</v>
      </c>
      <c r="M13" s="16">
        <v>0</v>
      </c>
      <c r="N13" s="14">
        <f t="shared" si="2"/>
        <v>922</v>
      </c>
    </row>
    <row r="14" spans="2:14" ht="12.75">
      <c r="B14" s="65" t="s">
        <v>87</v>
      </c>
      <c r="C14" s="22">
        <v>2590837</v>
      </c>
      <c r="D14" s="14">
        <v>0</v>
      </c>
      <c r="E14" s="14">
        <v>0</v>
      </c>
      <c r="F14" s="14">
        <f t="shared" si="0"/>
        <v>2590837</v>
      </c>
      <c r="G14" s="100">
        <v>0.15</v>
      </c>
      <c r="H14" s="14">
        <v>2150850</v>
      </c>
      <c r="I14" s="14">
        <f t="shared" si="3"/>
        <v>65998</v>
      </c>
      <c r="J14" s="14">
        <v>0</v>
      </c>
      <c r="K14" s="14">
        <f t="shared" si="1"/>
        <v>2216848</v>
      </c>
      <c r="L14" s="14">
        <v>0</v>
      </c>
      <c r="M14" s="16">
        <v>0</v>
      </c>
      <c r="N14" s="14">
        <f t="shared" si="2"/>
        <v>373989</v>
      </c>
    </row>
    <row r="15" spans="2:14" ht="12.75">
      <c r="B15" s="65" t="s">
        <v>88</v>
      </c>
      <c r="C15" s="22">
        <v>121958</v>
      </c>
      <c r="D15" s="14">
        <v>0</v>
      </c>
      <c r="E15" s="14">
        <v>0</v>
      </c>
      <c r="F15" s="14">
        <f t="shared" si="0"/>
        <v>121958</v>
      </c>
      <c r="G15" s="100">
        <v>0.15</v>
      </c>
      <c r="H15" s="14">
        <v>108860</v>
      </c>
      <c r="I15" s="14">
        <f t="shared" si="3"/>
        <v>1965</v>
      </c>
      <c r="J15" s="14">
        <v>0</v>
      </c>
      <c r="K15" s="14">
        <f t="shared" si="1"/>
        <v>110825</v>
      </c>
      <c r="L15" s="14">
        <v>0</v>
      </c>
      <c r="M15" s="16">
        <v>0</v>
      </c>
      <c r="N15" s="14">
        <f t="shared" si="2"/>
        <v>11133</v>
      </c>
    </row>
    <row r="16" spans="2:14" ht="12.75">
      <c r="B16" s="65" t="s">
        <v>89</v>
      </c>
      <c r="C16" s="22">
        <v>465000</v>
      </c>
      <c r="D16" s="14">
        <v>0</v>
      </c>
      <c r="E16" s="14">
        <v>0</v>
      </c>
      <c r="F16" s="14">
        <f t="shared" si="0"/>
        <v>465000</v>
      </c>
      <c r="G16" s="100">
        <v>0.2</v>
      </c>
      <c r="H16" s="14">
        <v>455750</v>
      </c>
      <c r="I16" s="14">
        <f t="shared" si="3"/>
        <v>1850</v>
      </c>
      <c r="J16" s="14">
        <v>0</v>
      </c>
      <c r="K16" s="14">
        <f t="shared" si="1"/>
        <v>457600</v>
      </c>
      <c r="L16" s="14">
        <v>0</v>
      </c>
      <c r="M16" s="16">
        <v>0</v>
      </c>
      <c r="N16" s="14">
        <f t="shared" si="2"/>
        <v>7400</v>
      </c>
    </row>
    <row r="17" spans="2:14" ht="12.75">
      <c r="B17" s="65" t="s">
        <v>94</v>
      </c>
      <c r="C17" s="22">
        <v>20293</v>
      </c>
      <c r="D17" s="14">
        <v>0</v>
      </c>
      <c r="E17" s="14">
        <v>0</v>
      </c>
      <c r="F17" s="14">
        <f t="shared" si="0"/>
        <v>20293</v>
      </c>
      <c r="G17" s="100">
        <v>0.15</v>
      </c>
      <c r="H17" s="14">
        <v>18089</v>
      </c>
      <c r="I17" s="14">
        <f t="shared" si="3"/>
        <v>331</v>
      </c>
      <c r="J17" s="14">
        <v>0</v>
      </c>
      <c r="K17" s="14">
        <f t="shared" si="1"/>
        <v>18420</v>
      </c>
      <c r="L17" s="14">
        <v>0</v>
      </c>
      <c r="M17" s="16">
        <v>0</v>
      </c>
      <c r="N17" s="14">
        <f t="shared" si="2"/>
        <v>1873</v>
      </c>
    </row>
    <row r="18" spans="2:14" ht="12.75">
      <c r="B18" s="65" t="s">
        <v>95</v>
      </c>
      <c r="C18" s="22">
        <v>308066</v>
      </c>
      <c r="D18" s="14">
        <v>0</v>
      </c>
      <c r="E18" s="14">
        <v>0</v>
      </c>
      <c r="F18" s="14">
        <f t="shared" si="0"/>
        <v>308066</v>
      </c>
      <c r="G18" s="100">
        <v>0.15</v>
      </c>
      <c r="H18" s="14">
        <v>264429</v>
      </c>
      <c r="I18" s="14">
        <f t="shared" si="3"/>
        <v>6546</v>
      </c>
      <c r="J18" s="14">
        <v>0</v>
      </c>
      <c r="K18" s="14">
        <f t="shared" si="1"/>
        <v>270975</v>
      </c>
      <c r="L18" s="14">
        <v>0</v>
      </c>
      <c r="M18" s="16">
        <v>0</v>
      </c>
      <c r="N18" s="14">
        <f t="shared" si="2"/>
        <v>37091</v>
      </c>
    </row>
    <row r="19" spans="2:14" ht="12.75">
      <c r="B19" s="65" t="s">
        <v>91</v>
      </c>
      <c r="C19" s="22">
        <v>173639</v>
      </c>
      <c r="D19" s="14">
        <v>0</v>
      </c>
      <c r="E19" s="14">
        <v>0</v>
      </c>
      <c r="F19" s="14">
        <f t="shared" si="0"/>
        <v>173639</v>
      </c>
      <c r="G19" s="100">
        <v>0.15</v>
      </c>
      <c r="H19" s="14">
        <v>159305</v>
      </c>
      <c r="I19" s="14">
        <f t="shared" si="3"/>
        <v>2150</v>
      </c>
      <c r="J19" s="14">
        <v>0</v>
      </c>
      <c r="K19" s="14">
        <f t="shared" si="1"/>
        <v>161455</v>
      </c>
      <c r="L19" s="14">
        <v>0</v>
      </c>
      <c r="M19" s="16">
        <v>0</v>
      </c>
      <c r="N19" s="14">
        <f t="shared" si="2"/>
        <v>12184</v>
      </c>
    </row>
    <row r="20" spans="2:14" ht="12.75">
      <c r="B20" s="65" t="s">
        <v>92</v>
      </c>
      <c r="C20" s="22">
        <v>68999</v>
      </c>
      <c r="D20" s="14">
        <v>0</v>
      </c>
      <c r="E20" s="14">
        <v>0</v>
      </c>
      <c r="F20" s="14">
        <f t="shared" si="0"/>
        <v>68999</v>
      </c>
      <c r="G20" s="100">
        <v>0.2</v>
      </c>
      <c r="H20" s="14">
        <v>63613</v>
      </c>
      <c r="I20" s="14">
        <f t="shared" si="3"/>
        <v>1077</v>
      </c>
      <c r="J20" s="14">
        <v>0</v>
      </c>
      <c r="K20" s="14">
        <f t="shared" si="1"/>
        <v>64690</v>
      </c>
      <c r="L20" s="14">
        <v>0</v>
      </c>
      <c r="M20" s="16">
        <v>0</v>
      </c>
      <c r="N20" s="14">
        <f t="shared" si="2"/>
        <v>4309</v>
      </c>
    </row>
    <row r="21" spans="2:14" ht="12.75">
      <c r="B21" s="65" t="s">
        <v>96</v>
      </c>
      <c r="C21" s="22">
        <v>790361</v>
      </c>
      <c r="D21" s="14">
        <v>0</v>
      </c>
      <c r="E21" s="14">
        <v>0</v>
      </c>
      <c r="F21" s="14">
        <f t="shared" si="0"/>
        <v>790361</v>
      </c>
      <c r="G21" s="100">
        <v>0.15</v>
      </c>
      <c r="H21" s="14">
        <v>650413</v>
      </c>
      <c r="I21" s="14">
        <f t="shared" si="3"/>
        <v>20992</v>
      </c>
      <c r="J21" s="14">
        <v>0</v>
      </c>
      <c r="K21" s="14">
        <f t="shared" si="1"/>
        <v>671405</v>
      </c>
      <c r="L21" s="14">
        <v>0</v>
      </c>
      <c r="M21" s="16">
        <v>0</v>
      </c>
      <c r="N21" s="14">
        <f t="shared" si="2"/>
        <v>118956</v>
      </c>
    </row>
    <row r="22" spans="2:14" ht="12.75">
      <c r="B22" s="120" t="s">
        <v>305</v>
      </c>
      <c r="C22" s="121">
        <f>SUM(C7:C21)</f>
        <v>41495559</v>
      </c>
      <c r="D22" s="122">
        <f>SUM(D7:D21)</f>
        <v>0</v>
      </c>
      <c r="E22" s="122">
        <f>SUM(E7:E21)</f>
        <v>0</v>
      </c>
      <c r="F22" s="122">
        <f>SUM(F7:F21)</f>
        <v>41495559</v>
      </c>
      <c r="G22" s="123"/>
      <c r="H22" s="122">
        <f>SUM(H7:H21)</f>
        <v>33823237</v>
      </c>
      <c r="I22" s="122">
        <f aca="true" t="shared" si="4" ref="I22:N22">SUM(I7:I21)</f>
        <v>682959</v>
      </c>
      <c r="J22" s="122">
        <f t="shared" si="4"/>
        <v>0</v>
      </c>
      <c r="K22" s="197">
        <f t="shared" si="1"/>
        <v>34506196</v>
      </c>
      <c r="L22" s="122">
        <f t="shared" si="4"/>
        <v>17076675</v>
      </c>
      <c r="M22" s="122">
        <f t="shared" si="4"/>
        <v>1179820</v>
      </c>
      <c r="N22" s="122">
        <f t="shared" si="4"/>
        <v>22886218</v>
      </c>
    </row>
    <row r="23" spans="2:14" ht="12.75">
      <c r="B23" s="196" t="s">
        <v>300</v>
      </c>
      <c r="C23" s="16"/>
      <c r="D23" s="14"/>
      <c r="E23" s="14"/>
      <c r="F23" s="14"/>
      <c r="H23" s="14"/>
      <c r="I23" s="14"/>
      <c r="J23" s="14"/>
      <c r="K23" s="14">
        <f t="shared" si="1"/>
        <v>0</v>
      </c>
      <c r="L23" s="14"/>
      <c r="M23" s="16"/>
      <c r="N23" s="14">
        <f t="shared" si="2"/>
        <v>0</v>
      </c>
    </row>
    <row r="24" spans="2:14" ht="12.75">
      <c r="B24" s="66" t="s">
        <v>81</v>
      </c>
      <c r="C24" s="22">
        <v>341600</v>
      </c>
      <c r="D24" s="14">
        <v>0</v>
      </c>
      <c r="E24" s="14">
        <v>0</v>
      </c>
      <c r="F24" s="14">
        <f t="shared" si="0"/>
        <v>341600</v>
      </c>
      <c r="G24" s="100">
        <v>0.1</v>
      </c>
      <c r="H24" s="14">
        <v>319531</v>
      </c>
      <c r="I24" s="14">
        <f>ROUND((F24-H24)*G24,0)</f>
        <v>2207</v>
      </c>
      <c r="J24" s="14">
        <v>0</v>
      </c>
      <c r="K24" s="14">
        <f t="shared" si="1"/>
        <v>321738</v>
      </c>
      <c r="L24" s="14">
        <f>353812-35381</f>
        <v>318431</v>
      </c>
      <c r="M24" s="16">
        <f>ROUND((L24*G24),0)</f>
        <v>31843</v>
      </c>
      <c r="N24" s="14">
        <f t="shared" si="2"/>
        <v>306450</v>
      </c>
    </row>
    <row r="25" spans="2:14" ht="12.75">
      <c r="B25" s="65" t="s">
        <v>84</v>
      </c>
      <c r="C25" s="22">
        <v>4128282</v>
      </c>
      <c r="D25" s="14">
        <v>0</v>
      </c>
      <c r="E25" s="14">
        <v>0</v>
      </c>
      <c r="F25" s="14">
        <f t="shared" si="0"/>
        <v>4128282</v>
      </c>
      <c r="G25" s="100">
        <v>0.1</v>
      </c>
      <c r="H25" s="14">
        <v>3745328</v>
      </c>
      <c r="I25" s="14">
        <f>ROUND((F25-H25)*G25,0)</f>
        <v>38295</v>
      </c>
      <c r="J25" s="14">
        <v>0</v>
      </c>
      <c r="K25" s="14">
        <f t="shared" si="1"/>
        <v>3783623</v>
      </c>
      <c r="L25" s="14">
        <f>1900720-190072</f>
        <v>1710648</v>
      </c>
      <c r="M25" s="16">
        <f>ROUND((L25*G25),0)</f>
        <v>171065</v>
      </c>
      <c r="N25" s="14">
        <f t="shared" si="2"/>
        <v>1884242</v>
      </c>
    </row>
    <row r="26" spans="2:14" ht="12.75">
      <c r="B26" s="120" t="s">
        <v>305</v>
      </c>
      <c r="C26" s="121">
        <f>SUM(C24:C25)</f>
        <v>4469882</v>
      </c>
      <c r="D26" s="122">
        <f>SUM(D24:D25)</f>
        <v>0</v>
      </c>
      <c r="E26" s="122">
        <f>SUM(E24:E25)</f>
        <v>0</v>
      </c>
      <c r="F26" s="122">
        <f>SUM(F24:F25)</f>
        <v>4469882</v>
      </c>
      <c r="G26" s="123"/>
      <c r="H26" s="122">
        <f>SUM(H24:H25)</f>
        <v>4064859</v>
      </c>
      <c r="I26" s="122">
        <f aca="true" t="shared" si="5" ref="I26:N26">SUM(I24:I25)</f>
        <v>40502</v>
      </c>
      <c r="J26" s="122">
        <f t="shared" si="5"/>
        <v>0</v>
      </c>
      <c r="K26" s="197">
        <f t="shared" si="1"/>
        <v>4105361</v>
      </c>
      <c r="L26" s="122">
        <f t="shared" si="5"/>
        <v>2029079</v>
      </c>
      <c r="M26" s="122">
        <f t="shared" si="5"/>
        <v>202908</v>
      </c>
      <c r="N26" s="122">
        <f t="shared" si="5"/>
        <v>2190692</v>
      </c>
    </row>
    <row r="27" spans="2:14" ht="12.75">
      <c r="B27" s="196" t="s">
        <v>301</v>
      </c>
      <c r="C27" s="16"/>
      <c r="D27" s="14"/>
      <c r="E27" s="14"/>
      <c r="F27" s="14"/>
      <c r="H27" s="14"/>
      <c r="I27" s="14"/>
      <c r="J27" s="14"/>
      <c r="K27" s="14">
        <f t="shared" si="1"/>
        <v>0</v>
      </c>
      <c r="L27" s="14"/>
      <c r="M27" s="16"/>
      <c r="N27" s="14">
        <f t="shared" si="2"/>
        <v>0</v>
      </c>
    </row>
    <row r="28" spans="2:14" ht="12.75">
      <c r="B28" s="66" t="s">
        <v>81</v>
      </c>
      <c r="C28" s="22">
        <v>212350</v>
      </c>
      <c r="D28" s="14">
        <v>0</v>
      </c>
      <c r="E28" s="14">
        <v>0</v>
      </c>
      <c r="F28" s="14">
        <f t="shared" si="0"/>
        <v>212350</v>
      </c>
      <c r="G28" s="100">
        <v>0.1</v>
      </c>
      <c r="H28" s="14">
        <v>195412</v>
      </c>
      <c r="I28" s="14">
        <f>ROUND((F28-H28)*G28,0)</f>
        <v>1694</v>
      </c>
      <c r="J28" s="14">
        <v>0</v>
      </c>
      <c r="K28" s="14">
        <f t="shared" si="1"/>
        <v>197106</v>
      </c>
      <c r="L28" s="14">
        <f>271535-27154</f>
        <v>244381</v>
      </c>
      <c r="M28" s="16">
        <f>ROUND((L28*G28),0)</f>
        <v>24438</v>
      </c>
      <c r="N28" s="14">
        <f t="shared" si="2"/>
        <v>235187</v>
      </c>
    </row>
    <row r="29" spans="2:14" ht="12.75">
      <c r="B29" s="65" t="s">
        <v>84</v>
      </c>
      <c r="C29" s="22">
        <v>20130875</v>
      </c>
      <c r="D29" s="14">
        <v>0</v>
      </c>
      <c r="E29" s="14">
        <v>0</v>
      </c>
      <c r="F29" s="14">
        <f t="shared" si="0"/>
        <v>20130875</v>
      </c>
      <c r="G29" s="100">
        <v>0.1</v>
      </c>
      <c r="H29" s="14">
        <v>18499776</v>
      </c>
      <c r="I29" s="14">
        <f>ROUND((F29-H29)*G29,0)</f>
        <v>163110</v>
      </c>
      <c r="J29" s="14">
        <v>0</v>
      </c>
      <c r="K29" s="14">
        <f t="shared" si="1"/>
        <v>18662886</v>
      </c>
      <c r="L29" s="14">
        <f>8296485-829649</f>
        <v>7466836</v>
      </c>
      <c r="M29" s="16">
        <f>ROUND((L29*G29),0)</f>
        <v>746684</v>
      </c>
      <c r="N29" s="14">
        <f t="shared" si="2"/>
        <v>8188141</v>
      </c>
    </row>
    <row r="30" spans="2:14" ht="12.75">
      <c r="B30" s="120" t="s">
        <v>305</v>
      </c>
      <c r="C30" s="121">
        <f>SUM(C28:C29)</f>
        <v>20343225</v>
      </c>
      <c r="D30" s="122">
        <f>SUM(D28:D29)</f>
        <v>0</v>
      </c>
      <c r="E30" s="122">
        <f>SUM(E28:E29)</f>
        <v>0</v>
      </c>
      <c r="F30" s="122">
        <f>SUM(F28:F29)</f>
        <v>20343225</v>
      </c>
      <c r="G30" s="123"/>
      <c r="H30" s="122">
        <f>SUM(H28:H29)</f>
        <v>18695188</v>
      </c>
      <c r="I30" s="122">
        <f aca="true" t="shared" si="6" ref="I30:N30">SUM(I28:I29)</f>
        <v>164804</v>
      </c>
      <c r="J30" s="122">
        <f t="shared" si="6"/>
        <v>0</v>
      </c>
      <c r="K30" s="197">
        <f t="shared" si="1"/>
        <v>18859992</v>
      </c>
      <c r="L30" s="122">
        <f t="shared" si="6"/>
        <v>7711217</v>
      </c>
      <c r="M30" s="122">
        <f t="shared" si="6"/>
        <v>771122</v>
      </c>
      <c r="N30" s="122">
        <f t="shared" si="6"/>
        <v>8423328</v>
      </c>
    </row>
    <row r="31" spans="2:14" ht="12.75">
      <c r="B31" s="196" t="s">
        <v>302</v>
      </c>
      <c r="C31" s="16"/>
      <c r="D31" s="14"/>
      <c r="E31" s="14"/>
      <c r="F31" s="14"/>
      <c r="H31" s="14"/>
      <c r="I31" s="14"/>
      <c r="J31" s="14"/>
      <c r="K31" s="14">
        <f t="shared" si="1"/>
        <v>0</v>
      </c>
      <c r="L31" s="14"/>
      <c r="M31" s="16"/>
      <c r="N31" s="14">
        <f t="shared" si="2"/>
        <v>0</v>
      </c>
    </row>
    <row r="32" spans="2:14" ht="12.75">
      <c r="B32" s="65" t="s">
        <v>80</v>
      </c>
      <c r="C32" s="223">
        <v>1912360</v>
      </c>
      <c r="D32" s="14">
        <v>0</v>
      </c>
      <c r="E32" s="14">
        <v>0</v>
      </c>
      <c r="F32" s="14">
        <f t="shared" si="0"/>
        <v>1912360</v>
      </c>
      <c r="G32" s="16">
        <v>0</v>
      </c>
      <c r="H32" s="14">
        <v>0</v>
      </c>
      <c r="I32" s="14">
        <v>0</v>
      </c>
      <c r="J32" s="14">
        <v>0</v>
      </c>
      <c r="K32" s="14">
        <f t="shared" si="1"/>
        <v>0</v>
      </c>
      <c r="L32" s="14">
        <v>8391195</v>
      </c>
      <c r="M32" s="16">
        <v>0</v>
      </c>
      <c r="N32" s="14">
        <f t="shared" si="2"/>
        <v>10303555</v>
      </c>
    </row>
    <row r="33" spans="2:14" ht="12.75">
      <c r="B33" s="66" t="s">
        <v>81</v>
      </c>
      <c r="C33" s="223">
        <v>936153</v>
      </c>
      <c r="D33" s="14">
        <v>0</v>
      </c>
      <c r="E33" s="14">
        <v>0</v>
      </c>
      <c r="F33" s="14">
        <f t="shared" si="0"/>
        <v>936153</v>
      </c>
      <c r="G33" s="100">
        <v>0.1</v>
      </c>
      <c r="H33" s="14">
        <v>706830</v>
      </c>
      <c r="I33" s="14">
        <f aca="true" t="shared" si="7" ref="I33:I40">ROUND((F33-H33)*G33,0)</f>
        <v>22932</v>
      </c>
      <c r="J33" s="14">
        <v>0</v>
      </c>
      <c r="K33" s="14">
        <f t="shared" si="1"/>
        <v>729762</v>
      </c>
      <c r="L33" s="14">
        <f>1232716-123272</f>
        <v>1109444</v>
      </c>
      <c r="M33" s="16">
        <f>ROUND((L33*G33),0)</f>
        <v>110944</v>
      </c>
      <c r="N33" s="14">
        <f t="shared" si="2"/>
        <v>1204891</v>
      </c>
    </row>
    <row r="34" spans="2:14" ht="12.75">
      <c r="B34" s="65" t="s">
        <v>85</v>
      </c>
      <c r="C34" s="223">
        <v>416206</v>
      </c>
      <c r="D34" s="14">
        <v>0</v>
      </c>
      <c r="E34" s="14">
        <v>0</v>
      </c>
      <c r="F34" s="14">
        <f t="shared" si="0"/>
        <v>416206</v>
      </c>
      <c r="G34" s="100">
        <v>0.1</v>
      </c>
      <c r="H34" s="14">
        <v>238803</v>
      </c>
      <c r="I34" s="14">
        <f>ROUND((F34-H34)*G34,0)</f>
        <v>17740</v>
      </c>
      <c r="J34" s="14">
        <v>0</v>
      </c>
      <c r="K34" s="14">
        <f t="shared" si="1"/>
        <v>256543</v>
      </c>
      <c r="L34" s="14">
        <v>0</v>
      </c>
      <c r="M34" s="16">
        <v>0</v>
      </c>
      <c r="N34" s="14">
        <f t="shared" si="2"/>
        <v>159663</v>
      </c>
    </row>
    <row r="35" spans="2:14" ht="12.75">
      <c r="B35" s="65" t="s">
        <v>86</v>
      </c>
      <c r="C35" s="223">
        <v>5358</v>
      </c>
      <c r="D35" s="14">
        <v>0</v>
      </c>
      <c r="E35" s="14">
        <v>0</v>
      </c>
      <c r="F35" s="14">
        <f t="shared" si="0"/>
        <v>5358</v>
      </c>
      <c r="G35" s="100">
        <v>0.1</v>
      </c>
      <c r="H35" s="14">
        <v>4634</v>
      </c>
      <c r="I35" s="14">
        <f t="shared" si="7"/>
        <v>72</v>
      </c>
      <c r="J35" s="14">
        <v>0</v>
      </c>
      <c r="K35" s="14">
        <f t="shared" si="1"/>
        <v>4706</v>
      </c>
      <c r="L35" s="14">
        <v>0</v>
      </c>
      <c r="M35" s="16">
        <v>0</v>
      </c>
      <c r="N35" s="14">
        <f t="shared" si="2"/>
        <v>652</v>
      </c>
    </row>
    <row r="36" spans="2:14" ht="12.75">
      <c r="B36" s="65" t="s">
        <v>87</v>
      </c>
      <c r="C36" s="223">
        <v>1554900</v>
      </c>
      <c r="D36" s="14">
        <v>0</v>
      </c>
      <c r="E36" s="14">
        <v>0</v>
      </c>
      <c r="F36" s="14">
        <f t="shared" si="0"/>
        <v>1554900</v>
      </c>
      <c r="G36" s="100">
        <v>0.15</v>
      </c>
      <c r="H36" s="14">
        <v>1235442</v>
      </c>
      <c r="I36" s="14">
        <f t="shared" si="7"/>
        <v>47919</v>
      </c>
      <c r="J36" s="14">
        <v>0</v>
      </c>
      <c r="K36" s="14">
        <f t="shared" si="1"/>
        <v>1283361</v>
      </c>
      <c r="L36" s="14">
        <v>0</v>
      </c>
      <c r="M36" s="16">
        <v>0</v>
      </c>
      <c r="N36" s="14">
        <f t="shared" si="2"/>
        <v>271539</v>
      </c>
    </row>
    <row r="37" spans="2:14" ht="12.75">
      <c r="B37" s="65" t="s">
        <v>90</v>
      </c>
      <c r="C37" s="223">
        <v>4458510</v>
      </c>
      <c r="D37" s="14">
        <v>0</v>
      </c>
      <c r="E37" s="14"/>
      <c r="F37" s="14">
        <f t="shared" si="0"/>
        <v>4458510</v>
      </c>
      <c r="G37" s="100">
        <v>0.15</v>
      </c>
      <c r="H37" s="14">
        <v>2303077</v>
      </c>
      <c r="I37" s="14">
        <f t="shared" si="7"/>
        <v>323315</v>
      </c>
      <c r="J37" s="14">
        <v>0</v>
      </c>
      <c r="K37" s="14">
        <f t="shared" si="1"/>
        <v>2626392</v>
      </c>
      <c r="L37" s="14">
        <v>0</v>
      </c>
      <c r="M37" s="16">
        <v>0</v>
      </c>
      <c r="N37" s="14">
        <f t="shared" si="2"/>
        <v>1832118</v>
      </c>
    </row>
    <row r="38" spans="2:14" ht="12.75">
      <c r="B38" s="65" t="s">
        <v>83</v>
      </c>
      <c r="C38" s="223">
        <v>607800</v>
      </c>
      <c r="D38" s="14">
        <v>0</v>
      </c>
      <c r="E38" s="14">
        <v>0</v>
      </c>
      <c r="F38" s="14">
        <f t="shared" si="0"/>
        <v>607800</v>
      </c>
      <c r="G38" s="100">
        <v>0.15</v>
      </c>
      <c r="H38" s="14">
        <v>582614</v>
      </c>
      <c r="I38" s="14">
        <f t="shared" si="7"/>
        <v>3778</v>
      </c>
      <c r="J38" s="14">
        <v>0</v>
      </c>
      <c r="K38" s="14">
        <f t="shared" si="1"/>
        <v>586392</v>
      </c>
      <c r="L38" s="14">
        <v>0</v>
      </c>
      <c r="M38" s="16">
        <v>0</v>
      </c>
      <c r="N38" s="14">
        <f t="shared" si="2"/>
        <v>21408</v>
      </c>
    </row>
    <row r="39" spans="2:14" ht="12.75">
      <c r="B39" s="65" t="s">
        <v>84</v>
      </c>
      <c r="C39" s="223">
        <v>22879498</v>
      </c>
      <c r="D39" s="14">
        <v>700000</v>
      </c>
      <c r="E39" s="14">
        <v>0</v>
      </c>
      <c r="F39" s="14">
        <f t="shared" si="0"/>
        <v>23579498</v>
      </c>
      <c r="G39" s="100">
        <v>0.1</v>
      </c>
      <c r="H39" s="14">
        <v>12391965</v>
      </c>
      <c r="I39" s="14">
        <f t="shared" si="7"/>
        <v>1118753</v>
      </c>
      <c r="J39" s="14">
        <v>0</v>
      </c>
      <c r="K39" s="14">
        <f t="shared" si="1"/>
        <v>13510718</v>
      </c>
      <c r="L39" s="14">
        <f>6069971-606997</f>
        <v>5462974</v>
      </c>
      <c r="M39" s="16">
        <f>ROUND((L39*G39),0)</f>
        <v>546297</v>
      </c>
      <c r="N39" s="14">
        <f t="shared" si="2"/>
        <v>14985457</v>
      </c>
    </row>
    <row r="40" spans="2:14" ht="12.75">
      <c r="B40" s="65" t="s">
        <v>92</v>
      </c>
      <c r="C40" s="223">
        <v>111405</v>
      </c>
      <c r="D40" s="17">
        <v>0</v>
      </c>
      <c r="E40" s="17">
        <v>0</v>
      </c>
      <c r="F40" s="17">
        <f t="shared" si="0"/>
        <v>111405</v>
      </c>
      <c r="G40" s="100">
        <v>0.2</v>
      </c>
      <c r="H40" s="14">
        <v>74059</v>
      </c>
      <c r="I40" s="14">
        <f t="shared" si="7"/>
        <v>7469</v>
      </c>
      <c r="J40" s="14">
        <v>0</v>
      </c>
      <c r="K40" s="14">
        <f t="shared" si="1"/>
        <v>81528</v>
      </c>
      <c r="L40" s="14">
        <v>0</v>
      </c>
      <c r="M40" s="16">
        <v>0</v>
      </c>
      <c r="N40" s="14">
        <f t="shared" si="2"/>
        <v>29877</v>
      </c>
    </row>
    <row r="41" spans="2:14" ht="12.75">
      <c r="B41" s="120" t="s">
        <v>305</v>
      </c>
      <c r="C41" s="121">
        <f>SUM(C32:C40)</f>
        <v>32882190</v>
      </c>
      <c r="D41" s="121">
        <f>SUM(D32:D40)</f>
        <v>700000</v>
      </c>
      <c r="E41" s="121">
        <f>SUM(E32:E40)</f>
        <v>0</v>
      </c>
      <c r="F41" s="121">
        <f>SUM(F32:F40)</f>
        <v>33582190</v>
      </c>
      <c r="G41" s="123"/>
      <c r="H41" s="122">
        <f>SUM(H32:H40)</f>
        <v>17537424</v>
      </c>
      <c r="I41" s="122">
        <f aca="true" t="shared" si="8" ref="I41:N41">SUM(I32:I40)</f>
        <v>1541978</v>
      </c>
      <c r="J41" s="122">
        <f t="shared" si="8"/>
        <v>0</v>
      </c>
      <c r="K41" s="197">
        <f t="shared" si="1"/>
        <v>19079402</v>
      </c>
      <c r="L41" s="122">
        <f t="shared" si="8"/>
        <v>14963613</v>
      </c>
      <c r="M41" s="122">
        <f t="shared" si="8"/>
        <v>657241</v>
      </c>
      <c r="N41" s="122">
        <f t="shared" si="8"/>
        <v>28809160</v>
      </c>
    </row>
    <row r="42" spans="2:14" ht="12.75">
      <c r="B42" s="196" t="s">
        <v>303</v>
      </c>
      <c r="C42" s="11"/>
      <c r="D42" s="11"/>
      <c r="E42" s="11"/>
      <c r="F42" s="11"/>
      <c r="H42" s="14"/>
      <c r="I42" s="14"/>
      <c r="J42" s="14"/>
      <c r="K42" s="14">
        <f t="shared" si="1"/>
        <v>0</v>
      </c>
      <c r="L42" s="14"/>
      <c r="M42" s="16"/>
      <c r="N42" s="14">
        <f t="shared" si="2"/>
        <v>0</v>
      </c>
    </row>
    <row r="43" spans="2:14" ht="12.75">
      <c r="B43" s="65" t="s">
        <v>80</v>
      </c>
      <c r="C43" s="14">
        <v>474806</v>
      </c>
      <c r="D43" s="14">
        <v>0</v>
      </c>
      <c r="E43" s="14">
        <v>0</v>
      </c>
      <c r="F43" s="14">
        <f t="shared" si="0"/>
        <v>474806</v>
      </c>
      <c r="G43" s="16">
        <v>0</v>
      </c>
      <c r="H43" s="14">
        <v>0</v>
      </c>
      <c r="I43" s="14">
        <v>0</v>
      </c>
      <c r="J43" s="14">
        <v>0</v>
      </c>
      <c r="K43" s="14">
        <f t="shared" si="1"/>
        <v>0</v>
      </c>
      <c r="L43" s="14">
        <v>0</v>
      </c>
      <c r="M43" s="16">
        <v>0</v>
      </c>
      <c r="N43" s="14">
        <f t="shared" si="2"/>
        <v>474806</v>
      </c>
    </row>
    <row r="44" spans="2:14" ht="12.75">
      <c r="B44" s="66" t="s">
        <v>81</v>
      </c>
      <c r="C44" s="14">
        <v>11301139</v>
      </c>
      <c r="D44" s="14">
        <v>0</v>
      </c>
      <c r="E44" s="14">
        <v>0</v>
      </c>
      <c r="F44" s="14">
        <f t="shared" si="0"/>
        <v>11301139</v>
      </c>
      <c r="G44" s="100">
        <v>0.1</v>
      </c>
      <c r="H44" s="14">
        <v>8786346</v>
      </c>
      <c r="I44" s="14">
        <f aca="true" t="shared" si="9" ref="I44:I55">ROUND((F44-H44)*G44,0)</f>
        <v>251479</v>
      </c>
      <c r="J44" s="14">
        <v>0</v>
      </c>
      <c r="K44" s="14">
        <f t="shared" si="1"/>
        <v>9037825</v>
      </c>
      <c r="L44" s="14">
        <v>0</v>
      </c>
      <c r="M44" s="16">
        <v>0</v>
      </c>
      <c r="N44" s="14">
        <f t="shared" si="2"/>
        <v>2263314</v>
      </c>
    </row>
    <row r="45" spans="2:14" ht="12.75">
      <c r="B45" s="65" t="s">
        <v>85</v>
      </c>
      <c r="C45" s="14">
        <v>555146</v>
      </c>
      <c r="D45" s="14">
        <v>0</v>
      </c>
      <c r="E45" s="14">
        <v>0</v>
      </c>
      <c r="F45" s="14">
        <f t="shared" si="0"/>
        <v>555146</v>
      </c>
      <c r="G45" s="100">
        <v>0.1</v>
      </c>
      <c r="H45" s="14">
        <v>404948</v>
      </c>
      <c r="I45" s="14">
        <f t="shared" si="9"/>
        <v>15020</v>
      </c>
      <c r="J45" s="14">
        <v>0</v>
      </c>
      <c r="K45" s="14">
        <f t="shared" si="1"/>
        <v>419968</v>
      </c>
      <c r="L45" s="14">
        <v>0</v>
      </c>
      <c r="M45" s="16">
        <v>0</v>
      </c>
      <c r="N45" s="14">
        <f t="shared" si="2"/>
        <v>135178</v>
      </c>
    </row>
    <row r="46" spans="2:14" ht="12.75">
      <c r="B46" s="65" t="s">
        <v>87</v>
      </c>
      <c r="C46" s="14">
        <v>2622758</v>
      </c>
      <c r="D46" s="14">
        <v>0</v>
      </c>
      <c r="E46" s="14">
        <v>0</v>
      </c>
      <c r="F46" s="14">
        <f t="shared" si="0"/>
        <v>2622758</v>
      </c>
      <c r="G46" s="100">
        <v>0.15</v>
      </c>
      <c r="H46" s="14">
        <v>2249031</v>
      </c>
      <c r="I46" s="14">
        <f t="shared" si="9"/>
        <v>56059</v>
      </c>
      <c r="J46" s="14">
        <v>0</v>
      </c>
      <c r="K46" s="14">
        <f t="shared" si="1"/>
        <v>2305090</v>
      </c>
      <c r="L46" s="14">
        <v>0</v>
      </c>
      <c r="M46" s="16">
        <v>0</v>
      </c>
      <c r="N46" s="14">
        <f t="shared" si="2"/>
        <v>317668</v>
      </c>
    </row>
    <row r="47" spans="2:14" ht="12.75">
      <c r="B47" s="65" t="s">
        <v>90</v>
      </c>
      <c r="C47" s="14">
        <v>2887025</v>
      </c>
      <c r="D47" s="14">
        <v>0</v>
      </c>
      <c r="E47" s="14">
        <v>0</v>
      </c>
      <c r="F47" s="14">
        <f t="shared" si="0"/>
        <v>2887025</v>
      </c>
      <c r="G47" s="100">
        <v>0.15</v>
      </c>
      <c r="H47" s="14">
        <v>2487259</v>
      </c>
      <c r="I47" s="14">
        <f t="shared" si="9"/>
        <v>59965</v>
      </c>
      <c r="J47" s="14">
        <v>0</v>
      </c>
      <c r="K47" s="14">
        <f t="shared" si="1"/>
        <v>2547224</v>
      </c>
      <c r="L47" s="14">
        <v>0</v>
      </c>
      <c r="M47" s="16">
        <v>0</v>
      </c>
      <c r="N47" s="14">
        <f t="shared" si="2"/>
        <v>339801</v>
      </c>
    </row>
    <row r="48" spans="2:14" ht="12.75">
      <c r="B48" s="65" t="s">
        <v>83</v>
      </c>
      <c r="C48" s="14">
        <v>2964061</v>
      </c>
      <c r="D48" s="14">
        <v>0</v>
      </c>
      <c r="E48" s="14">
        <v>0</v>
      </c>
      <c r="F48" s="14">
        <f t="shared" si="0"/>
        <v>2964061</v>
      </c>
      <c r="G48" s="100">
        <v>0.15</v>
      </c>
      <c r="H48" s="14">
        <v>2763210</v>
      </c>
      <c r="I48" s="14">
        <f t="shared" si="9"/>
        <v>30128</v>
      </c>
      <c r="J48" s="14">
        <v>0</v>
      </c>
      <c r="K48" s="14">
        <f t="shared" si="1"/>
        <v>2793338</v>
      </c>
      <c r="L48" s="14">
        <v>0</v>
      </c>
      <c r="M48" s="16">
        <v>0</v>
      </c>
      <c r="N48" s="14">
        <f t="shared" si="2"/>
        <v>170723</v>
      </c>
    </row>
    <row r="49" spans="2:14" ht="12.75">
      <c r="B49" s="65" t="s">
        <v>84</v>
      </c>
      <c r="C49" s="14">
        <v>106553807</v>
      </c>
      <c r="D49" s="14">
        <v>0</v>
      </c>
      <c r="E49" s="14">
        <v>0</v>
      </c>
      <c r="F49" s="14">
        <f t="shared" si="0"/>
        <v>106553807</v>
      </c>
      <c r="G49" s="100">
        <v>0.1</v>
      </c>
      <c r="H49" s="14">
        <v>83476591</v>
      </c>
      <c r="I49" s="14">
        <f t="shared" si="9"/>
        <v>2307722</v>
      </c>
      <c r="J49" s="14">
        <v>0</v>
      </c>
      <c r="K49" s="14">
        <f t="shared" si="1"/>
        <v>85784313</v>
      </c>
      <c r="L49" s="14">
        <v>0</v>
      </c>
      <c r="M49" s="16">
        <v>0</v>
      </c>
      <c r="N49" s="14">
        <f t="shared" si="2"/>
        <v>20769494</v>
      </c>
    </row>
    <row r="50" spans="2:14" ht="12.75">
      <c r="B50" s="65" t="s">
        <v>92</v>
      </c>
      <c r="C50" s="14">
        <v>155847</v>
      </c>
      <c r="D50" s="14">
        <v>0</v>
      </c>
      <c r="E50" s="14">
        <v>0</v>
      </c>
      <c r="F50" s="14">
        <f t="shared" si="0"/>
        <v>155847</v>
      </c>
      <c r="G50" s="100">
        <v>0.2</v>
      </c>
      <c r="H50" s="14">
        <v>141430</v>
      </c>
      <c r="I50" s="14">
        <f t="shared" si="9"/>
        <v>2883</v>
      </c>
      <c r="J50" s="14">
        <v>0</v>
      </c>
      <c r="K50" s="14">
        <f t="shared" si="1"/>
        <v>144313</v>
      </c>
      <c r="L50" s="14">
        <v>0</v>
      </c>
      <c r="M50" s="16">
        <v>0</v>
      </c>
      <c r="N50" s="14">
        <f t="shared" si="2"/>
        <v>11534</v>
      </c>
    </row>
    <row r="51" spans="2:14" ht="12.75">
      <c r="B51" s="65" t="s">
        <v>94</v>
      </c>
      <c r="C51" s="14">
        <v>109265</v>
      </c>
      <c r="D51" s="14">
        <v>0</v>
      </c>
      <c r="E51" s="14">
        <v>0</v>
      </c>
      <c r="F51" s="14">
        <f t="shared" si="0"/>
        <v>109265</v>
      </c>
      <c r="G51" s="100">
        <v>0.15</v>
      </c>
      <c r="H51" s="14">
        <v>100514</v>
      </c>
      <c r="I51" s="14">
        <f t="shared" si="9"/>
        <v>1313</v>
      </c>
      <c r="J51" s="14">
        <v>0</v>
      </c>
      <c r="K51" s="14">
        <f t="shared" si="1"/>
        <v>101827</v>
      </c>
      <c r="L51" s="14">
        <v>0</v>
      </c>
      <c r="M51" s="16">
        <v>0</v>
      </c>
      <c r="N51" s="14">
        <f t="shared" si="2"/>
        <v>7438</v>
      </c>
    </row>
    <row r="52" spans="2:14" ht="12.75">
      <c r="B52" s="65" t="s">
        <v>88</v>
      </c>
      <c r="C52" s="14">
        <v>279301</v>
      </c>
      <c r="D52" s="14">
        <v>0</v>
      </c>
      <c r="E52" s="14">
        <v>0</v>
      </c>
      <c r="F52" s="14">
        <f t="shared" si="0"/>
        <v>279301</v>
      </c>
      <c r="G52" s="100">
        <v>0.15</v>
      </c>
      <c r="H52" s="14">
        <v>259552</v>
      </c>
      <c r="I52" s="14">
        <f t="shared" si="9"/>
        <v>2962</v>
      </c>
      <c r="J52" s="14">
        <v>0</v>
      </c>
      <c r="K52" s="14">
        <f t="shared" si="1"/>
        <v>262514</v>
      </c>
      <c r="L52" s="14">
        <v>0</v>
      </c>
      <c r="M52" s="16">
        <v>0</v>
      </c>
      <c r="N52" s="14">
        <f t="shared" si="2"/>
        <v>16787</v>
      </c>
    </row>
    <row r="53" spans="2:14" ht="12.75">
      <c r="B53" s="65" t="s">
        <v>89</v>
      </c>
      <c r="C53" s="14">
        <v>1350000</v>
      </c>
      <c r="D53" s="14">
        <v>0</v>
      </c>
      <c r="E53" s="14">
        <v>0</v>
      </c>
      <c r="F53" s="14">
        <f t="shared" si="0"/>
        <v>1350000</v>
      </c>
      <c r="G53" s="100">
        <v>0.2</v>
      </c>
      <c r="H53" s="14">
        <v>1296053</v>
      </c>
      <c r="I53" s="14">
        <f t="shared" si="9"/>
        <v>10789</v>
      </c>
      <c r="J53" s="14">
        <v>0</v>
      </c>
      <c r="K53" s="14">
        <f t="shared" si="1"/>
        <v>1306842</v>
      </c>
      <c r="L53" s="14">
        <v>0</v>
      </c>
      <c r="M53" s="16">
        <v>0</v>
      </c>
      <c r="N53" s="14">
        <f t="shared" si="2"/>
        <v>43158</v>
      </c>
    </row>
    <row r="54" spans="2:14" ht="12.75">
      <c r="B54" s="65" t="s">
        <v>93</v>
      </c>
      <c r="C54" s="14">
        <v>302398</v>
      </c>
      <c r="D54" s="14">
        <v>0</v>
      </c>
      <c r="E54" s="14">
        <v>0</v>
      </c>
      <c r="F54" s="14">
        <f t="shared" si="0"/>
        <v>302398</v>
      </c>
      <c r="G54" s="100">
        <v>0.1</v>
      </c>
      <c r="H54" s="14">
        <v>249631</v>
      </c>
      <c r="I54" s="14">
        <f t="shared" si="9"/>
        <v>5277</v>
      </c>
      <c r="J54" s="14">
        <v>0</v>
      </c>
      <c r="K54" s="14">
        <f t="shared" si="1"/>
        <v>254908</v>
      </c>
      <c r="L54" s="14">
        <v>0</v>
      </c>
      <c r="M54" s="16">
        <v>0</v>
      </c>
      <c r="N54" s="14">
        <f t="shared" si="2"/>
        <v>47490</v>
      </c>
    </row>
    <row r="55" spans="2:14" ht="12.75">
      <c r="B55" s="65" t="s">
        <v>82</v>
      </c>
      <c r="C55" s="14">
        <v>493106</v>
      </c>
      <c r="D55" s="14">
        <v>0</v>
      </c>
      <c r="E55" s="14">
        <v>0</v>
      </c>
      <c r="F55" s="14">
        <f t="shared" si="0"/>
        <v>493106</v>
      </c>
      <c r="G55" s="100">
        <v>0.1</v>
      </c>
      <c r="H55" s="14">
        <v>406170</v>
      </c>
      <c r="I55" s="14">
        <f t="shared" si="9"/>
        <v>8694</v>
      </c>
      <c r="J55" s="14">
        <v>0</v>
      </c>
      <c r="K55" s="14">
        <f t="shared" si="1"/>
        <v>414864</v>
      </c>
      <c r="L55" s="14">
        <v>0</v>
      </c>
      <c r="M55" s="16">
        <v>0</v>
      </c>
      <c r="N55" s="14">
        <f t="shared" si="2"/>
        <v>78242</v>
      </c>
    </row>
    <row r="56" spans="2:14" ht="12.75">
      <c r="B56" s="120" t="s">
        <v>305</v>
      </c>
      <c r="C56" s="122">
        <f>SUM(C43:C55)</f>
        <v>130048659</v>
      </c>
      <c r="D56" s="122">
        <f>SUM(D43:D55)</f>
        <v>0</v>
      </c>
      <c r="E56" s="122">
        <f>SUM(E43:E55)</f>
        <v>0</v>
      </c>
      <c r="F56" s="122">
        <f>SUM(F43:F55)</f>
        <v>130048659</v>
      </c>
      <c r="G56" s="123"/>
      <c r="H56" s="122">
        <f>SUM(H43:H55)</f>
        <v>102620735</v>
      </c>
      <c r="I56" s="122">
        <f aca="true" t="shared" si="10" ref="I56:N56">SUM(I43:I55)</f>
        <v>2752291</v>
      </c>
      <c r="J56" s="122">
        <f t="shared" si="10"/>
        <v>0</v>
      </c>
      <c r="K56" s="122">
        <f t="shared" si="1"/>
        <v>105373026</v>
      </c>
      <c r="L56" s="122">
        <f t="shared" si="10"/>
        <v>0</v>
      </c>
      <c r="M56" s="122">
        <f t="shared" si="10"/>
        <v>0</v>
      </c>
      <c r="N56" s="122">
        <f t="shared" si="10"/>
        <v>24675633</v>
      </c>
    </row>
    <row r="57" spans="2:14" ht="12.75">
      <c r="B57" s="196" t="s">
        <v>304</v>
      </c>
      <c r="C57" s="14"/>
      <c r="D57" s="14"/>
      <c r="E57" s="14"/>
      <c r="F57" s="14"/>
      <c r="H57" s="14"/>
      <c r="I57" s="14"/>
      <c r="J57" s="14"/>
      <c r="K57" s="14">
        <f t="shared" si="1"/>
        <v>0</v>
      </c>
      <c r="L57" s="14"/>
      <c r="M57" s="16"/>
      <c r="N57" s="14">
        <f t="shared" si="2"/>
        <v>0</v>
      </c>
    </row>
    <row r="58" spans="2:14" ht="12.75">
      <c r="B58" s="65" t="s">
        <v>80</v>
      </c>
      <c r="C58" s="14">
        <v>13855</v>
      </c>
      <c r="D58" s="14">
        <v>0</v>
      </c>
      <c r="E58" s="14">
        <v>0</v>
      </c>
      <c r="F58" s="14">
        <f t="shared" si="0"/>
        <v>13855</v>
      </c>
      <c r="G58" s="16">
        <v>0</v>
      </c>
      <c r="H58" s="14">
        <v>0</v>
      </c>
      <c r="I58" s="14">
        <v>0</v>
      </c>
      <c r="J58" s="14">
        <v>0</v>
      </c>
      <c r="K58" s="14">
        <f t="shared" si="1"/>
        <v>0</v>
      </c>
      <c r="L58" s="14">
        <v>0</v>
      </c>
      <c r="M58" s="16">
        <v>0</v>
      </c>
      <c r="N58" s="14">
        <f t="shared" si="2"/>
        <v>13855</v>
      </c>
    </row>
    <row r="59" spans="2:14" ht="12.75">
      <c r="B59" s="66" t="s">
        <v>81</v>
      </c>
      <c r="C59" s="14">
        <v>407869</v>
      </c>
      <c r="D59" s="14">
        <v>0</v>
      </c>
      <c r="E59" s="14">
        <v>0</v>
      </c>
      <c r="F59" s="14">
        <f t="shared" si="0"/>
        <v>407869</v>
      </c>
      <c r="G59" s="100">
        <v>0.1</v>
      </c>
      <c r="H59" s="14">
        <v>300848</v>
      </c>
      <c r="I59" s="14">
        <f aca="true" t="shared" si="11" ref="I59:I68">ROUND((F59-H59)*G59,0)</f>
        <v>10702</v>
      </c>
      <c r="J59" s="14">
        <v>0</v>
      </c>
      <c r="K59" s="14">
        <f t="shared" si="1"/>
        <v>311550</v>
      </c>
      <c r="L59" s="14">
        <v>0</v>
      </c>
      <c r="M59" s="16">
        <v>0</v>
      </c>
      <c r="N59" s="14">
        <f t="shared" si="2"/>
        <v>96319</v>
      </c>
    </row>
    <row r="60" spans="2:14" ht="12.75">
      <c r="B60" s="65" t="s">
        <v>87</v>
      </c>
      <c r="C60" s="14">
        <v>1046247</v>
      </c>
      <c r="D60" s="14">
        <v>0</v>
      </c>
      <c r="E60" s="14">
        <v>0</v>
      </c>
      <c r="F60" s="14">
        <f t="shared" si="0"/>
        <v>1046247</v>
      </c>
      <c r="G60" s="100">
        <v>0.15</v>
      </c>
      <c r="H60" s="14">
        <v>930496</v>
      </c>
      <c r="I60" s="14">
        <f t="shared" si="11"/>
        <v>17363</v>
      </c>
      <c r="J60" s="14">
        <v>0</v>
      </c>
      <c r="K60" s="14">
        <f t="shared" si="1"/>
        <v>947859</v>
      </c>
      <c r="L60" s="14">
        <v>0</v>
      </c>
      <c r="M60" s="16">
        <v>0</v>
      </c>
      <c r="N60" s="14">
        <f t="shared" si="2"/>
        <v>98388</v>
      </c>
    </row>
    <row r="61" spans="2:14" ht="12.75">
      <c r="B61" s="65" t="s">
        <v>90</v>
      </c>
      <c r="C61" s="14">
        <v>8306486</v>
      </c>
      <c r="D61" s="14">
        <v>0</v>
      </c>
      <c r="E61" s="14">
        <v>0</v>
      </c>
      <c r="F61" s="14">
        <f t="shared" si="0"/>
        <v>8306486</v>
      </c>
      <c r="G61" s="100">
        <v>0.15</v>
      </c>
      <c r="H61" s="14">
        <v>7633586</v>
      </c>
      <c r="I61" s="14">
        <f t="shared" si="11"/>
        <v>100935</v>
      </c>
      <c r="J61" s="14">
        <v>0</v>
      </c>
      <c r="K61" s="14">
        <f t="shared" si="1"/>
        <v>7734521</v>
      </c>
      <c r="L61" s="14">
        <v>0</v>
      </c>
      <c r="M61" s="16">
        <v>0</v>
      </c>
      <c r="N61" s="14">
        <f t="shared" si="2"/>
        <v>571965</v>
      </c>
    </row>
    <row r="62" spans="2:14" ht="12.75">
      <c r="B62" s="65" t="s">
        <v>85</v>
      </c>
      <c r="C62" s="14">
        <v>149972</v>
      </c>
      <c r="D62" s="14">
        <v>0</v>
      </c>
      <c r="E62" s="14">
        <v>0</v>
      </c>
      <c r="F62" s="14">
        <f t="shared" si="0"/>
        <v>149972</v>
      </c>
      <c r="G62" s="100">
        <v>0.1</v>
      </c>
      <c r="H62" s="14">
        <v>106684</v>
      </c>
      <c r="I62" s="14">
        <f t="shared" si="11"/>
        <v>4329</v>
      </c>
      <c r="J62" s="14">
        <v>0</v>
      </c>
      <c r="K62" s="14">
        <f t="shared" si="1"/>
        <v>111013</v>
      </c>
      <c r="L62" s="14">
        <v>0</v>
      </c>
      <c r="M62" s="16">
        <v>0</v>
      </c>
      <c r="N62" s="14">
        <f t="shared" si="2"/>
        <v>38959</v>
      </c>
    </row>
    <row r="63" spans="2:14" ht="12.75">
      <c r="B63" s="65" t="s">
        <v>83</v>
      </c>
      <c r="C63" s="14">
        <v>90500</v>
      </c>
      <c r="D63" s="14">
        <v>0</v>
      </c>
      <c r="E63" s="14">
        <v>0</v>
      </c>
      <c r="F63" s="14">
        <f t="shared" si="0"/>
        <v>90500</v>
      </c>
      <c r="G63" s="100">
        <v>0.15</v>
      </c>
      <c r="H63" s="14">
        <v>82595</v>
      </c>
      <c r="I63" s="14">
        <f t="shared" si="11"/>
        <v>1186</v>
      </c>
      <c r="J63" s="14">
        <v>0</v>
      </c>
      <c r="K63" s="14">
        <f t="shared" si="1"/>
        <v>83781</v>
      </c>
      <c r="L63" s="14">
        <v>0</v>
      </c>
      <c r="M63" s="16">
        <v>0</v>
      </c>
      <c r="N63" s="14">
        <f t="shared" si="2"/>
        <v>6719</v>
      </c>
    </row>
    <row r="64" spans="2:14" ht="12.75">
      <c r="B64" s="65" t="s">
        <v>84</v>
      </c>
      <c r="C64" s="14">
        <v>30374104</v>
      </c>
      <c r="D64" s="14">
        <v>0</v>
      </c>
      <c r="E64" s="14">
        <v>0</v>
      </c>
      <c r="F64" s="14">
        <f t="shared" si="0"/>
        <v>30374104</v>
      </c>
      <c r="G64" s="100">
        <v>0.1</v>
      </c>
      <c r="H64" s="14">
        <v>24120347</v>
      </c>
      <c r="I64" s="14">
        <f t="shared" si="11"/>
        <v>625376</v>
      </c>
      <c r="J64" s="14">
        <v>0</v>
      </c>
      <c r="K64" s="14">
        <f t="shared" si="1"/>
        <v>24745723</v>
      </c>
      <c r="L64" s="14">
        <v>0</v>
      </c>
      <c r="M64" s="16">
        <v>0</v>
      </c>
      <c r="N64" s="14">
        <f t="shared" si="2"/>
        <v>5628381</v>
      </c>
    </row>
    <row r="65" spans="2:14" ht="12.75">
      <c r="B65" s="65" t="s">
        <v>92</v>
      </c>
      <c r="C65" s="14">
        <v>29107</v>
      </c>
      <c r="D65" s="14">
        <v>0</v>
      </c>
      <c r="E65" s="14">
        <v>0</v>
      </c>
      <c r="F65" s="14">
        <f t="shared" si="0"/>
        <v>29107</v>
      </c>
      <c r="G65" s="100">
        <v>0.2</v>
      </c>
      <c r="H65" s="14">
        <v>27396</v>
      </c>
      <c r="I65" s="14">
        <f t="shared" si="11"/>
        <v>342</v>
      </c>
      <c r="J65" s="14">
        <v>0</v>
      </c>
      <c r="K65" s="14">
        <f t="shared" si="1"/>
        <v>27738</v>
      </c>
      <c r="L65" s="14">
        <v>0</v>
      </c>
      <c r="M65" s="16">
        <v>0</v>
      </c>
      <c r="N65" s="14">
        <f t="shared" si="2"/>
        <v>1369</v>
      </c>
    </row>
    <row r="66" spans="2:14" ht="12.75">
      <c r="B66" s="65" t="s">
        <v>88</v>
      </c>
      <c r="C66" s="14">
        <v>12407</v>
      </c>
      <c r="D66" s="14">
        <v>0</v>
      </c>
      <c r="E66" s="14">
        <v>0</v>
      </c>
      <c r="F66" s="14">
        <f t="shared" si="0"/>
        <v>12407</v>
      </c>
      <c r="G66" s="100">
        <v>0.15</v>
      </c>
      <c r="H66" s="14">
        <v>10613</v>
      </c>
      <c r="I66" s="14">
        <f t="shared" si="11"/>
        <v>269</v>
      </c>
      <c r="J66" s="14">
        <v>0</v>
      </c>
      <c r="K66" s="14">
        <f t="shared" si="1"/>
        <v>10882</v>
      </c>
      <c r="L66" s="14">
        <v>0</v>
      </c>
      <c r="M66" s="16">
        <v>0</v>
      </c>
      <c r="N66" s="14">
        <f t="shared" si="2"/>
        <v>1525</v>
      </c>
    </row>
    <row r="67" spans="2:14" ht="12.75">
      <c r="B67" s="65" t="s">
        <v>89</v>
      </c>
      <c r="C67" s="14">
        <v>513037</v>
      </c>
      <c r="D67" s="14">
        <v>0</v>
      </c>
      <c r="E67" s="14">
        <v>0</v>
      </c>
      <c r="F67" s="14">
        <f t="shared" si="0"/>
        <v>513037</v>
      </c>
      <c r="G67" s="100">
        <v>0.2</v>
      </c>
      <c r="H67" s="14">
        <v>494987</v>
      </c>
      <c r="I67" s="14">
        <f t="shared" si="11"/>
        <v>3610</v>
      </c>
      <c r="J67" s="14">
        <v>0</v>
      </c>
      <c r="K67" s="14">
        <f t="shared" si="1"/>
        <v>498597</v>
      </c>
      <c r="L67" s="14">
        <v>0</v>
      </c>
      <c r="M67" s="16">
        <v>0</v>
      </c>
      <c r="N67" s="14">
        <f t="shared" si="2"/>
        <v>14440</v>
      </c>
    </row>
    <row r="68" spans="2:14" ht="12.75">
      <c r="B68" s="65" t="s">
        <v>82</v>
      </c>
      <c r="C68" s="14">
        <v>3520</v>
      </c>
      <c r="D68" s="14">
        <v>0</v>
      </c>
      <c r="E68" s="14">
        <v>0</v>
      </c>
      <c r="F68" s="14">
        <f t="shared" si="0"/>
        <v>3520</v>
      </c>
      <c r="G68" s="100">
        <v>0.1</v>
      </c>
      <c r="H68" s="14">
        <v>2796</v>
      </c>
      <c r="I68" s="14">
        <f t="shared" si="11"/>
        <v>72</v>
      </c>
      <c r="J68" s="14">
        <v>0</v>
      </c>
      <c r="K68" s="14">
        <f t="shared" si="1"/>
        <v>2868</v>
      </c>
      <c r="L68" s="14">
        <v>0</v>
      </c>
      <c r="M68" s="16">
        <v>0</v>
      </c>
      <c r="N68" s="14">
        <f t="shared" si="2"/>
        <v>652</v>
      </c>
    </row>
    <row r="69" spans="2:14" ht="12.75">
      <c r="B69" s="120" t="s">
        <v>305</v>
      </c>
      <c r="C69" s="122">
        <f>SUM(C58:C68)</f>
        <v>40947104</v>
      </c>
      <c r="D69" s="122">
        <f>SUM(D58:D68)</f>
        <v>0</v>
      </c>
      <c r="E69" s="122">
        <f>SUM(E58:E68)</f>
        <v>0</v>
      </c>
      <c r="F69" s="122">
        <f>SUM(F58:F68)</f>
        <v>40947104</v>
      </c>
      <c r="G69" s="123"/>
      <c r="H69" s="122">
        <f>SUM(H58:H68)</f>
        <v>33710348</v>
      </c>
      <c r="I69" s="122">
        <f aca="true" t="shared" si="12" ref="I69:N69">SUM(I58:I68)</f>
        <v>764184</v>
      </c>
      <c r="J69" s="122">
        <f t="shared" si="12"/>
        <v>0</v>
      </c>
      <c r="K69" s="122">
        <f t="shared" si="1"/>
        <v>34474532</v>
      </c>
      <c r="L69" s="122">
        <f t="shared" si="12"/>
        <v>0</v>
      </c>
      <c r="M69" s="122">
        <f t="shared" si="12"/>
        <v>0</v>
      </c>
      <c r="N69" s="122">
        <f t="shared" si="12"/>
        <v>6472572</v>
      </c>
    </row>
    <row r="70" spans="2:15" ht="12.75">
      <c r="B70" s="184" t="s">
        <v>40</v>
      </c>
      <c r="C70" s="200">
        <f aca="true" t="shared" si="13" ref="C70:J70">C22+C26+C30+C41+C56+C69</f>
        <v>270186619</v>
      </c>
      <c r="D70" s="200">
        <f t="shared" si="13"/>
        <v>700000</v>
      </c>
      <c r="E70" s="200">
        <f t="shared" si="13"/>
        <v>0</v>
      </c>
      <c r="F70" s="200">
        <f t="shared" si="13"/>
        <v>270886619</v>
      </c>
      <c r="G70" s="374">
        <f t="shared" si="13"/>
        <v>0</v>
      </c>
      <c r="H70" s="198">
        <f t="shared" si="13"/>
        <v>210451791</v>
      </c>
      <c r="I70" s="198">
        <f t="shared" si="13"/>
        <v>5946718</v>
      </c>
      <c r="J70" s="199">
        <f t="shared" si="13"/>
        <v>0</v>
      </c>
      <c r="K70" s="200">
        <f t="shared" si="1"/>
        <v>216398509</v>
      </c>
      <c r="L70" s="198">
        <f>L22+L26+L30+L41+L56+L69</f>
        <v>41780584</v>
      </c>
      <c r="M70" s="198">
        <f>M22+M26+M30+M41+M56+M69</f>
        <v>2811091</v>
      </c>
      <c r="N70" s="200">
        <f>N22+N26+N30+N41+N56+N69</f>
        <v>93457603</v>
      </c>
      <c r="O70" s="23"/>
    </row>
    <row r="71" spans="3:9" ht="12.75">
      <c r="C71" s="16"/>
      <c r="D71" s="16"/>
      <c r="E71" s="16"/>
      <c r="F71" s="16"/>
      <c r="I71" s="23"/>
    </row>
    <row r="72" spans="2:14" ht="13.5" thickBot="1">
      <c r="B72" s="118">
        <v>2014</v>
      </c>
      <c r="C72" s="119">
        <v>270186619</v>
      </c>
      <c r="D72" s="55">
        <v>0</v>
      </c>
      <c r="E72" s="12">
        <v>0</v>
      </c>
      <c r="F72" s="55">
        <v>270186619</v>
      </c>
      <c r="G72" s="120"/>
      <c r="H72" s="55">
        <v>203869265</v>
      </c>
      <c r="I72" s="55">
        <v>6582526</v>
      </c>
      <c r="J72" s="12">
        <v>0</v>
      </c>
      <c r="K72" s="55">
        <v>210451791</v>
      </c>
      <c r="L72" s="55">
        <v>44902020</v>
      </c>
      <c r="M72" s="12">
        <v>3123436</v>
      </c>
      <c r="N72" s="55">
        <v>101515411</v>
      </c>
    </row>
    <row r="73" ht="13.5" thickTop="1">
      <c r="L73" s="23"/>
    </row>
    <row r="74" spans="2:13" ht="12.75">
      <c r="B74" s="144" t="s">
        <v>389</v>
      </c>
      <c r="K74" s="23"/>
      <c r="M74" s="23"/>
    </row>
    <row r="75" spans="3:13" ht="12.75">
      <c r="C75" s="89"/>
      <c r="E75" s="23"/>
      <c r="K75" s="23"/>
      <c r="M75" s="23"/>
    </row>
    <row r="76" spans="2:3" ht="12.75">
      <c r="B76" s="7" t="s">
        <v>390</v>
      </c>
      <c r="C76" s="89">
        <f>C78-C77</f>
        <v>8490032</v>
      </c>
    </row>
    <row r="77" spans="2:3" ht="12.75">
      <c r="B77" s="7" t="s">
        <v>514</v>
      </c>
      <c r="C77" s="145">
        <f>I12+I14+I16+I20+I34+I36+I40+I45+I46+I50+I60+I62+I65</f>
        <v>267777</v>
      </c>
    </row>
    <row r="78" spans="2:10" ht="13.5" thickBot="1">
      <c r="B78" s="143" t="s">
        <v>320</v>
      </c>
      <c r="C78" s="148">
        <f>I70+M70</f>
        <v>8757809</v>
      </c>
      <c r="J78" s="23"/>
    </row>
    <row r="79" spans="3:10" ht="13.5" thickTop="1">
      <c r="C79" s="23"/>
      <c r="J79" s="23"/>
    </row>
    <row r="81" ht="12.75">
      <c r="J81" s="23"/>
    </row>
    <row r="83" ht="12.75">
      <c r="J83" s="23"/>
    </row>
    <row r="84" ht="12.75">
      <c r="J84" s="23"/>
    </row>
    <row r="85" ht="12.75">
      <c r="J85" s="23"/>
    </row>
    <row r="87" ht="12.75">
      <c r="J87" s="23"/>
    </row>
  </sheetData>
  <sheetProtection/>
  <mergeCells count="2">
    <mergeCell ref="G3:K3"/>
    <mergeCell ref="C3:F3"/>
  </mergeCells>
  <printOptions horizontalCentered="1"/>
  <pageMargins left="0.5" right="0.5" top="1.25" bottom="1.25" header="0.75" footer="0.5"/>
  <pageSetup firstPageNumber="15" useFirstPageNumber="1" horizontalDpi="600" verticalDpi="600" orientation="landscape" paperSize="9" scale="80" r:id="rId1"/>
  <headerFooter alignWithMargins="0">
    <oddHeader>&amp;RHAQUE SHAH ALAM MANSUR &amp;&amp; CO.
Chartered Accountants</oddHeader>
    <oddFooter>&amp;C&amp;P</oddFooter>
  </headerFooter>
</worksheet>
</file>

<file path=xl/worksheets/sheet8.xml><?xml version="1.0" encoding="utf-8"?>
<worksheet xmlns="http://schemas.openxmlformats.org/spreadsheetml/2006/main" xmlns:r="http://schemas.openxmlformats.org/officeDocument/2006/relationships">
  <dimension ref="A1:S135"/>
  <sheetViews>
    <sheetView zoomScalePageLayoutView="0" workbookViewId="0" topLeftCell="A103">
      <selection activeCell="A1" sqref="A1:Q146"/>
    </sheetView>
  </sheetViews>
  <sheetFormatPr defaultColWidth="9.140625" defaultRowHeight="12.75"/>
  <cols>
    <col min="1" max="1" width="4.7109375" style="6" customWidth="1"/>
    <col min="2" max="2" width="33.7109375" style="18" customWidth="1"/>
    <col min="3" max="3" width="12.421875" style="18" customWidth="1"/>
    <col min="4" max="4" width="1.1484375" style="18" customWidth="1"/>
    <col min="5" max="5" width="15.421875" style="18" customWidth="1"/>
    <col min="6" max="6" width="1.8515625" style="18" customWidth="1"/>
    <col min="7" max="7" width="11.7109375" style="18" customWidth="1"/>
    <col min="8" max="8" width="0.9921875" style="18" customWidth="1"/>
    <col min="9" max="9" width="11.7109375" style="18" customWidth="1"/>
    <col min="10" max="10" width="0.9921875" style="18" customWidth="1"/>
    <col min="11" max="11" width="11.7109375" style="18" customWidth="1"/>
    <col min="12" max="12" width="0.85546875" style="18" customWidth="1"/>
    <col min="13" max="13" width="11.7109375" style="18" customWidth="1"/>
    <col min="14" max="14" width="0.85546875" style="18" customWidth="1"/>
    <col min="15" max="15" width="12.7109375" style="18" customWidth="1"/>
    <col min="16" max="16" width="0.85546875" style="18" customWidth="1"/>
    <col min="17" max="17" width="12.57421875" style="18" customWidth="1"/>
    <col min="18" max="18" width="12.421875" style="18" customWidth="1"/>
    <col min="19" max="19" width="13.140625" style="18" customWidth="1"/>
    <col min="20" max="16384" width="9.140625" style="18" customWidth="1"/>
  </cols>
  <sheetData>
    <row r="1" spans="3:17" ht="12.75">
      <c r="C1" s="71"/>
      <c r="D1" s="68"/>
      <c r="E1" s="71"/>
      <c r="F1" s="68"/>
      <c r="G1" s="71"/>
      <c r="H1" s="68"/>
      <c r="I1" s="71"/>
      <c r="J1" s="68"/>
      <c r="K1" s="71"/>
      <c r="L1" s="68"/>
      <c r="M1" s="71"/>
      <c r="N1" s="68"/>
      <c r="O1" s="71"/>
      <c r="P1" s="68"/>
      <c r="Q1" s="71"/>
    </row>
    <row r="4" spans="1:2" ht="12.75">
      <c r="A4" s="39" t="s">
        <v>25</v>
      </c>
      <c r="B4" s="8" t="s">
        <v>534</v>
      </c>
    </row>
    <row r="6" ht="12.75">
      <c r="B6" s="18" t="s">
        <v>102</v>
      </c>
    </row>
    <row r="7" spans="3:17" ht="12.75">
      <c r="C7" s="4" t="s">
        <v>298</v>
      </c>
      <c r="D7" s="4"/>
      <c r="E7" s="4" t="s">
        <v>300</v>
      </c>
      <c r="F7" s="4"/>
      <c r="G7" s="4" t="s">
        <v>301</v>
      </c>
      <c r="H7" s="4"/>
      <c r="I7" s="4" t="s">
        <v>302</v>
      </c>
      <c r="J7" s="4"/>
      <c r="K7" s="4" t="s">
        <v>303</v>
      </c>
      <c r="L7" s="4"/>
      <c r="M7" s="4" t="s">
        <v>304</v>
      </c>
      <c r="N7" s="4"/>
      <c r="O7" s="4">
        <v>2015</v>
      </c>
      <c r="P7" s="4"/>
      <c r="Q7" s="4">
        <v>2014</v>
      </c>
    </row>
    <row r="8" spans="2:19" ht="12.75">
      <c r="B8" s="18" t="s">
        <v>273</v>
      </c>
      <c r="C8" s="68">
        <v>0</v>
      </c>
      <c r="D8" s="68"/>
      <c r="E8" s="68">
        <v>0</v>
      </c>
      <c r="F8" s="68"/>
      <c r="G8" s="68">
        <v>0</v>
      </c>
      <c r="H8" s="68"/>
      <c r="I8" s="68">
        <v>0</v>
      </c>
      <c r="J8" s="68"/>
      <c r="K8" s="68">
        <v>4178244</v>
      </c>
      <c r="L8" s="68"/>
      <c r="M8" s="68">
        <v>14181787</v>
      </c>
      <c r="N8" s="68"/>
      <c r="O8" s="68">
        <v>18360031</v>
      </c>
      <c r="P8" s="68"/>
      <c r="Q8" s="68">
        <v>19360031</v>
      </c>
      <c r="S8" s="103"/>
    </row>
    <row r="9" spans="2:19" ht="13.5" customHeight="1">
      <c r="B9" s="18" t="s">
        <v>274</v>
      </c>
      <c r="C9" s="68">
        <v>0</v>
      </c>
      <c r="D9" s="68"/>
      <c r="E9" s="68">
        <v>0</v>
      </c>
      <c r="F9" s="68"/>
      <c r="G9" s="68">
        <v>0</v>
      </c>
      <c r="H9" s="68"/>
      <c r="I9" s="68">
        <v>0</v>
      </c>
      <c r="J9" s="68"/>
      <c r="K9" s="68">
        <v>250000</v>
      </c>
      <c r="L9" s="68"/>
      <c r="M9" s="68">
        <v>750000</v>
      </c>
      <c r="N9" s="68"/>
      <c r="O9" s="16">
        <f>SUM(C9:M9)</f>
        <v>1000000</v>
      </c>
      <c r="P9" s="68"/>
      <c r="Q9" s="68">
        <v>1000000</v>
      </c>
      <c r="S9" s="103"/>
    </row>
    <row r="10" spans="2:19" ht="13.5" thickBot="1">
      <c r="B10" s="8" t="s">
        <v>306</v>
      </c>
      <c r="C10" s="85">
        <f>C8-C9</f>
        <v>0</v>
      </c>
      <c r="D10" s="85">
        <f aca="true" t="shared" si="0" ref="D10:P10">D8-D9</f>
        <v>0</v>
      </c>
      <c r="E10" s="85">
        <f t="shared" si="0"/>
        <v>0</v>
      </c>
      <c r="F10" s="85">
        <f t="shared" si="0"/>
        <v>0</v>
      </c>
      <c r="G10" s="85">
        <f t="shared" si="0"/>
        <v>0</v>
      </c>
      <c r="H10" s="85">
        <f t="shared" si="0"/>
        <v>0</v>
      </c>
      <c r="I10" s="85">
        <f t="shared" si="0"/>
        <v>0</v>
      </c>
      <c r="J10" s="85">
        <f t="shared" si="0"/>
        <v>0</v>
      </c>
      <c r="K10" s="85">
        <f t="shared" si="0"/>
        <v>3928244</v>
      </c>
      <c r="L10" s="85">
        <f t="shared" si="0"/>
        <v>0</v>
      </c>
      <c r="M10" s="85">
        <f t="shared" si="0"/>
        <v>13431787</v>
      </c>
      <c r="N10" s="85">
        <f t="shared" si="0"/>
        <v>0</v>
      </c>
      <c r="O10" s="85">
        <f t="shared" si="0"/>
        <v>17360031</v>
      </c>
      <c r="P10" s="85">
        <f t="shared" si="0"/>
        <v>0</v>
      </c>
      <c r="Q10" s="85">
        <v>18360031</v>
      </c>
      <c r="S10" s="103"/>
    </row>
    <row r="11" spans="3:17" ht="13.5" thickTop="1">
      <c r="C11" s="71"/>
      <c r="D11" s="68"/>
      <c r="E11" s="71"/>
      <c r="F11" s="68"/>
      <c r="G11" s="71"/>
      <c r="H11" s="68"/>
      <c r="I11" s="71"/>
      <c r="J11" s="68"/>
      <c r="K11" s="71"/>
      <c r="L11" s="68"/>
      <c r="M11" s="71"/>
      <c r="N11" s="68"/>
      <c r="O11" s="71"/>
      <c r="P11" s="68"/>
      <c r="Q11" s="71"/>
    </row>
    <row r="12" spans="2:17" ht="38.25" customHeight="1">
      <c r="B12" s="415" t="s">
        <v>295</v>
      </c>
      <c r="C12" s="415"/>
      <c r="D12" s="415"/>
      <c r="E12" s="415"/>
      <c r="F12" s="415"/>
      <c r="G12" s="415"/>
      <c r="H12" s="415"/>
      <c r="I12" s="415"/>
      <c r="J12" s="415"/>
      <c r="K12" s="415"/>
      <c r="L12" s="415"/>
      <c r="M12" s="415"/>
      <c r="N12" s="415"/>
      <c r="O12" s="415"/>
      <c r="P12" s="415"/>
      <c r="Q12" s="415"/>
    </row>
    <row r="16" spans="1:2" ht="12.75">
      <c r="A16" s="39" t="s">
        <v>106</v>
      </c>
      <c r="B16" s="8" t="s">
        <v>547</v>
      </c>
    </row>
    <row r="18" ht="12.75">
      <c r="B18" s="18" t="s">
        <v>102</v>
      </c>
    </row>
    <row r="19" spans="3:17" ht="12.75">
      <c r="C19" s="4" t="s">
        <v>298</v>
      </c>
      <c r="D19" s="4"/>
      <c r="E19" s="4" t="s">
        <v>300</v>
      </c>
      <c r="F19" s="4"/>
      <c r="G19" s="4" t="s">
        <v>301</v>
      </c>
      <c r="H19" s="4"/>
      <c r="I19" s="4" t="s">
        <v>302</v>
      </c>
      <c r="J19" s="4"/>
      <c r="K19" s="4" t="s">
        <v>303</v>
      </c>
      <c r="L19" s="4"/>
      <c r="M19" s="4" t="s">
        <v>304</v>
      </c>
      <c r="N19" s="4"/>
      <c r="O19" s="4">
        <v>2015</v>
      </c>
      <c r="P19" s="4"/>
      <c r="Q19" s="4">
        <v>2014</v>
      </c>
    </row>
    <row r="20" spans="2:19" ht="12.75">
      <c r="B20" s="18" t="s">
        <v>264</v>
      </c>
      <c r="C20" s="68">
        <f>'N-5'!C48</f>
        <v>0</v>
      </c>
      <c r="D20" s="68"/>
      <c r="E20" s="68">
        <f>'N-5'!E48</f>
        <v>10035420</v>
      </c>
      <c r="F20" s="68"/>
      <c r="G20" s="68">
        <f>'N-5'!G48</f>
        <v>6526135</v>
      </c>
      <c r="H20" s="68"/>
      <c r="I20" s="68">
        <f>'N-5'!I48</f>
        <v>15512458</v>
      </c>
      <c r="J20" s="68"/>
      <c r="K20" s="68">
        <f>'N-5'!K48</f>
        <v>10012459</v>
      </c>
      <c r="L20" s="68"/>
      <c r="M20" s="68">
        <f>'N-5'!M48</f>
        <v>6789328</v>
      </c>
      <c r="N20" s="68"/>
      <c r="O20" s="16">
        <f>SUM(E20:M20)</f>
        <v>48875800</v>
      </c>
      <c r="P20" s="68"/>
      <c r="Q20" s="68">
        <v>49970279</v>
      </c>
      <c r="R20" s="103"/>
      <c r="S20" s="103"/>
    </row>
    <row r="21" spans="2:19" ht="13.5" customHeight="1">
      <c r="B21" s="18" t="s">
        <v>265</v>
      </c>
      <c r="C21" s="68">
        <f>'N-5'!C24</f>
        <v>0</v>
      </c>
      <c r="D21" s="68"/>
      <c r="E21" s="68">
        <f>'N-5'!E24</f>
        <v>3618148</v>
      </c>
      <c r="F21" s="68"/>
      <c r="G21" s="68">
        <f>'N-5'!G24</f>
        <v>18526980</v>
      </c>
      <c r="H21" s="68"/>
      <c r="I21" s="68">
        <f>'N-5'!I24</f>
        <v>28221920</v>
      </c>
      <c r="J21" s="68"/>
      <c r="K21" s="68">
        <f>'N-5'!K24</f>
        <v>923760</v>
      </c>
      <c r="L21" s="68"/>
      <c r="M21" s="68">
        <f>'N-5'!M24</f>
        <v>8412459</v>
      </c>
      <c r="N21" s="68"/>
      <c r="O21" s="16">
        <f>SUM(C21:M21)</f>
        <v>59703267</v>
      </c>
      <c r="P21" s="68"/>
      <c r="Q21" s="68">
        <v>62608320</v>
      </c>
      <c r="R21" s="103"/>
      <c r="S21" s="103"/>
    </row>
    <row r="22" spans="2:19" ht="12.75">
      <c r="B22" s="18" t="s">
        <v>266</v>
      </c>
      <c r="C22" s="68">
        <f>'N-5'!C36</f>
        <v>0</v>
      </c>
      <c r="D22" s="68"/>
      <c r="E22" s="68">
        <f>'N-5'!E36</f>
        <v>0</v>
      </c>
      <c r="F22" s="68"/>
      <c r="G22" s="68">
        <f>'N-5'!G36</f>
        <v>0</v>
      </c>
      <c r="H22" s="68"/>
      <c r="I22" s="68">
        <f>'N-5'!I36</f>
        <v>1725148</v>
      </c>
      <c r="J22" s="68"/>
      <c r="K22" s="68">
        <f>'N-5'!K36</f>
        <v>0</v>
      </c>
      <c r="L22" s="68"/>
      <c r="M22" s="68">
        <f>'N-5'!M36</f>
        <v>431094</v>
      </c>
      <c r="N22" s="68"/>
      <c r="O22" s="16">
        <f>SUM(C22:M22)</f>
        <v>2156242</v>
      </c>
      <c r="P22" s="68"/>
      <c r="Q22" s="68">
        <v>2579447</v>
      </c>
      <c r="R22" s="103"/>
      <c r="S22" s="103"/>
    </row>
    <row r="23" spans="2:19" ht="13.5" thickBot="1">
      <c r="B23" s="8" t="s">
        <v>40</v>
      </c>
      <c r="C23" s="85">
        <f>SUM(C20:C22)</f>
        <v>0</v>
      </c>
      <c r="D23" s="106"/>
      <c r="E23" s="85">
        <f>SUM(E20:E22)</f>
        <v>13653568</v>
      </c>
      <c r="F23" s="106"/>
      <c r="G23" s="85">
        <f>SUM(G20:G22)</f>
        <v>25053115</v>
      </c>
      <c r="H23" s="106"/>
      <c r="I23" s="85">
        <f>SUM(I20:I22)</f>
        <v>45459526</v>
      </c>
      <c r="J23" s="106"/>
      <c r="K23" s="85">
        <f>SUM(K20:K22)</f>
        <v>10936219</v>
      </c>
      <c r="L23" s="106"/>
      <c r="M23" s="85">
        <f>SUM(M20:M22)</f>
        <v>15632881</v>
      </c>
      <c r="N23" s="106"/>
      <c r="O23" s="85">
        <f>SUM(O20:O22)</f>
        <v>110735309</v>
      </c>
      <c r="P23" s="106"/>
      <c r="Q23" s="85">
        <v>115158046</v>
      </c>
      <c r="R23" s="103"/>
      <c r="S23" s="103"/>
    </row>
    <row r="24" spans="3:17" ht="13.5" thickTop="1">
      <c r="C24" s="68"/>
      <c r="D24" s="68"/>
      <c r="E24" s="68"/>
      <c r="F24" s="68"/>
      <c r="G24" s="68"/>
      <c r="H24" s="68"/>
      <c r="I24" s="68"/>
      <c r="J24" s="68"/>
      <c r="K24" s="68"/>
      <c r="L24" s="68"/>
      <c r="M24" s="68"/>
      <c r="N24" s="68"/>
      <c r="O24" s="68"/>
      <c r="P24" s="68"/>
      <c r="Q24" s="68"/>
    </row>
    <row r="25" ht="12.75">
      <c r="B25" s="18" t="s">
        <v>336</v>
      </c>
    </row>
    <row r="38" spans="1:11" ht="12.75">
      <c r="A38" s="39" t="s">
        <v>562</v>
      </c>
      <c r="B38" s="1" t="s">
        <v>566</v>
      </c>
      <c r="C38" s="88"/>
      <c r="D38" s="89"/>
      <c r="E38" s="103"/>
      <c r="H38" s="39" t="s">
        <v>563</v>
      </c>
      <c r="I38" s="25" t="s">
        <v>560</v>
      </c>
      <c r="J38" s="90"/>
      <c r="K38" s="80"/>
    </row>
    <row r="39" spans="1:4" ht="12.75">
      <c r="A39" s="39"/>
      <c r="B39" s="147"/>
      <c r="C39" s="88"/>
      <c r="D39" s="89"/>
    </row>
    <row r="40" spans="2:11" ht="12.75">
      <c r="B40" s="7" t="s">
        <v>224</v>
      </c>
      <c r="C40" s="88"/>
      <c r="D40" s="89"/>
      <c r="I40" s="183" t="s">
        <v>240</v>
      </c>
      <c r="J40" s="90"/>
      <c r="K40" s="80"/>
    </row>
    <row r="41" spans="2:11" ht="12.75">
      <c r="B41" s="25" t="s">
        <v>225</v>
      </c>
      <c r="C41" s="78" t="s">
        <v>226</v>
      </c>
      <c r="E41" s="79" t="s">
        <v>227</v>
      </c>
      <c r="I41" s="27"/>
      <c r="J41" s="90"/>
      <c r="K41" s="80"/>
    </row>
    <row r="42" spans="2:15" ht="12.75">
      <c r="B42" s="18" t="s">
        <v>307</v>
      </c>
      <c r="C42" s="68">
        <v>147250</v>
      </c>
      <c r="D42" s="68"/>
      <c r="E42" s="68">
        <v>14135781.25</v>
      </c>
      <c r="F42" s="195"/>
      <c r="I42" s="25" t="s">
        <v>225</v>
      </c>
      <c r="J42" s="8"/>
      <c r="K42" s="8"/>
      <c r="L42" s="8"/>
      <c r="M42" s="87" t="s">
        <v>237</v>
      </c>
      <c r="N42" s="8"/>
      <c r="O42" s="81" t="s">
        <v>227</v>
      </c>
    </row>
    <row r="43" spans="2:15" ht="12.75">
      <c r="B43" s="18" t="s">
        <v>262</v>
      </c>
      <c r="C43" s="68">
        <v>36401</v>
      </c>
      <c r="D43" s="68"/>
      <c r="E43" s="68">
        <v>6580124</v>
      </c>
      <c r="F43" s="195"/>
      <c r="I43" s="27"/>
      <c r="M43" s="90"/>
      <c r="O43" s="80"/>
    </row>
    <row r="44" spans="2:19" ht="12.75">
      <c r="B44" s="18" t="s">
        <v>228</v>
      </c>
      <c r="C44" s="68">
        <v>491</v>
      </c>
      <c r="D44" s="68"/>
      <c r="E44" s="68">
        <v>65215</v>
      </c>
      <c r="F44" s="195"/>
      <c r="I44" s="18" t="s">
        <v>152</v>
      </c>
      <c r="M44" s="103">
        <v>325</v>
      </c>
      <c r="N44" s="109"/>
      <c r="O44" s="103">
        <v>39842150</v>
      </c>
      <c r="R44" s="103"/>
      <c r="S44" s="109"/>
    </row>
    <row r="45" spans="2:19" ht="12.75">
      <c r="B45" s="18" t="s">
        <v>229</v>
      </c>
      <c r="C45" s="68">
        <f>35116</f>
        <v>35116</v>
      </c>
      <c r="D45" s="68"/>
      <c r="E45" s="68">
        <v>701235</v>
      </c>
      <c r="F45" s="195"/>
      <c r="I45" s="18" t="s">
        <v>153</v>
      </c>
      <c r="M45" s="103">
        <v>86</v>
      </c>
      <c r="N45" s="109"/>
      <c r="O45" s="103">
        <v>9812410</v>
      </c>
      <c r="R45" s="103"/>
      <c r="S45" s="109"/>
    </row>
    <row r="46" spans="2:19" ht="12.75">
      <c r="B46" s="18" t="s">
        <v>230</v>
      </c>
      <c r="C46" s="68">
        <v>1204</v>
      </c>
      <c r="D46" s="68"/>
      <c r="E46" s="68">
        <v>85125</v>
      </c>
      <c r="F46" s="195"/>
      <c r="I46" s="18" t="s">
        <v>238</v>
      </c>
      <c r="M46" s="103">
        <v>5</v>
      </c>
      <c r="N46" s="109"/>
      <c r="O46" s="103">
        <v>620125</v>
      </c>
      <c r="R46" s="103"/>
      <c r="S46" s="109"/>
    </row>
    <row r="47" spans="2:19" ht="12.75">
      <c r="B47" s="18" t="s">
        <v>263</v>
      </c>
      <c r="C47" s="68">
        <v>1151</v>
      </c>
      <c r="D47" s="68"/>
      <c r="E47" s="68">
        <v>102145</v>
      </c>
      <c r="F47" s="195"/>
      <c r="I47" s="18" t="s">
        <v>309</v>
      </c>
      <c r="M47" s="103">
        <v>78</v>
      </c>
      <c r="N47" s="109"/>
      <c r="O47" s="103">
        <f>8910826+517756</f>
        <v>9428582</v>
      </c>
      <c r="R47" s="103"/>
      <c r="S47" s="109"/>
    </row>
    <row r="48" spans="2:19" ht="13.5" thickBot="1">
      <c r="B48" s="18" t="s">
        <v>231</v>
      </c>
      <c r="C48" s="68">
        <v>5107</v>
      </c>
      <c r="D48" s="68"/>
      <c r="E48" s="68">
        <v>1623450</v>
      </c>
      <c r="F48" s="195"/>
      <c r="I48" s="8" t="s">
        <v>40</v>
      </c>
      <c r="J48" s="88"/>
      <c r="M48" s="10"/>
      <c r="N48" s="68"/>
      <c r="O48" s="12">
        <f>SUM(O44:O47)</f>
        <v>59703267</v>
      </c>
      <c r="R48" s="10"/>
      <c r="S48" s="109"/>
    </row>
    <row r="49" spans="2:6" ht="13.5" thickTop="1">
      <c r="B49" s="18" t="s">
        <v>382</v>
      </c>
      <c r="C49" s="68">
        <v>500</v>
      </c>
      <c r="D49" s="68"/>
      <c r="E49" s="68">
        <v>1050000</v>
      </c>
      <c r="F49" s="195"/>
    </row>
    <row r="50" spans="2:6" ht="12.75">
      <c r="B50" s="18" t="s">
        <v>398</v>
      </c>
      <c r="C50" s="68">
        <v>0</v>
      </c>
      <c r="D50" s="68"/>
      <c r="E50" s="68">
        <v>0</v>
      </c>
      <c r="F50" s="195"/>
    </row>
    <row r="51" spans="2:6" ht="12.75">
      <c r="B51" s="18" t="s">
        <v>381</v>
      </c>
      <c r="C51" s="68">
        <v>1000</v>
      </c>
      <c r="D51" s="68"/>
      <c r="E51" s="68">
        <v>931000</v>
      </c>
      <c r="F51" s="195"/>
    </row>
    <row r="52" spans="2:15" ht="12.75">
      <c r="B52" s="18" t="s">
        <v>232</v>
      </c>
      <c r="C52" s="68">
        <v>2956</v>
      </c>
      <c r="D52" s="68"/>
      <c r="E52" s="68">
        <v>565250</v>
      </c>
      <c r="F52" s="195"/>
      <c r="O52" s="103">
        <f>O21-O48</f>
        <v>0</v>
      </c>
    </row>
    <row r="53" spans="2:6" ht="12.75">
      <c r="B53" s="18" t="s">
        <v>395</v>
      </c>
      <c r="C53" s="68">
        <v>473</v>
      </c>
      <c r="D53" s="68"/>
      <c r="E53" s="68">
        <v>90250</v>
      </c>
      <c r="F53" s="195"/>
    </row>
    <row r="54" spans="2:11" ht="12.75">
      <c r="B54" s="18" t="s">
        <v>233</v>
      </c>
      <c r="C54" s="68">
        <v>200</v>
      </c>
      <c r="D54" s="68"/>
      <c r="E54" s="68">
        <v>165000</v>
      </c>
      <c r="F54" s="195"/>
      <c r="G54" s="18">
        <v>4.03</v>
      </c>
      <c r="H54" s="39" t="s">
        <v>267</v>
      </c>
      <c r="I54" s="25" t="s">
        <v>571</v>
      </c>
      <c r="J54" s="90"/>
      <c r="K54" s="80"/>
    </row>
    <row r="55" spans="2:6" ht="12.75">
      <c r="B55" s="18" t="s">
        <v>391</v>
      </c>
      <c r="C55" s="68">
        <v>1181</v>
      </c>
      <c r="D55" s="68"/>
      <c r="E55" s="68">
        <v>227810</v>
      </c>
      <c r="F55" s="195"/>
    </row>
    <row r="56" spans="2:11" ht="12.75">
      <c r="B56" s="18" t="s">
        <v>392</v>
      </c>
      <c r="C56" s="68">
        <v>2800</v>
      </c>
      <c r="D56" s="68"/>
      <c r="E56" s="68">
        <v>560000</v>
      </c>
      <c r="F56" s="195"/>
      <c r="I56" s="182" t="s">
        <v>239</v>
      </c>
      <c r="J56" s="90"/>
      <c r="K56" s="80"/>
    </row>
    <row r="57" spans="2:11" ht="12.75">
      <c r="B57" s="18" t="s">
        <v>396</v>
      </c>
      <c r="C57" s="68">
        <v>2909</v>
      </c>
      <c r="D57" s="68"/>
      <c r="E57" s="68">
        <v>534780</v>
      </c>
      <c r="F57" s="195"/>
      <c r="I57" s="27"/>
      <c r="J57" s="90"/>
      <c r="K57" s="80"/>
    </row>
    <row r="58" spans="2:15" ht="12.75">
      <c r="B58" s="18" t="s">
        <v>397</v>
      </c>
      <c r="C58" s="68">
        <v>3397</v>
      </c>
      <c r="D58" s="68"/>
      <c r="E58" s="68">
        <v>1542368</v>
      </c>
      <c r="F58" s="195"/>
      <c r="I58" s="25" t="s">
        <v>225</v>
      </c>
      <c r="J58" s="8"/>
      <c r="K58" s="8"/>
      <c r="L58" s="8"/>
      <c r="M58" s="87" t="s">
        <v>237</v>
      </c>
      <c r="N58" s="8"/>
      <c r="O58" s="81" t="s">
        <v>227</v>
      </c>
    </row>
    <row r="59" spans="2:6" ht="12.75">
      <c r="B59" s="18" t="s">
        <v>234</v>
      </c>
      <c r="C59" s="68">
        <v>400</v>
      </c>
      <c r="D59" s="68"/>
      <c r="E59" s="68">
        <v>80000</v>
      </c>
      <c r="F59" s="195"/>
    </row>
    <row r="60" spans="2:19" ht="12.75">
      <c r="B60" s="18" t="s">
        <v>235</v>
      </c>
      <c r="C60" s="68">
        <v>200</v>
      </c>
      <c r="D60" s="68"/>
      <c r="E60" s="68">
        <v>60000</v>
      </c>
      <c r="F60" s="195"/>
      <c r="I60" s="68" t="s">
        <v>310</v>
      </c>
      <c r="M60" s="109">
        <v>16</v>
      </c>
      <c r="N60" s="109"/>
      <c r="O60" s="71">
        <v>1695124</v>
      </c>
      <c r="R60" s="109"/>
      <c r="S60" s="109"/>
    </row>
    <row r="61" spans="2:19" ht="12.75">
      <c r="B61" s="18" t="s">
        <v>372</v>
      </c>
      <c r="C61" s="68">
        <v>200</v>
      </c>
      <c r="D61" s="68"/>
      <c r="E61" s="68">
        <v>350000</v>
      </c>
      <c r="F61" s="195"/>
      <c r="I61" s="146" t="s">
        <v>155</v>
      </c>
      <c r="M61" s="109">
        <v>4</v>
      </c>
      <c r="N61" s="109"/>
      <c r="O61" s="71">
        <f>510320-49202</f>
        <v>461118</v>
      </c>
      <c r="R61" s="109"/>
      <c r="S61" s="109"/>
    </row>
    <row r="62" spans="2:19" ht="13.5" thickBot="1">
      <c r="B62" s="18" t="s">
        <v>373</v>
      </c>
      <c r="C62" s="68">
        <v>13</v>
      </c>
      <c r="D62" s="68"/>
      <c r="E62" s="68">
        <v>36000</v>
      </c>
      <c r="F62" s="195"/>
      <c r="I62" s="78" t="s">
        <v>40</v>
      </c>
      <c r="M62" s="22"/>
      <c r="N62" s="68"/>
      <c r="O62" s="12">
        <f>SUM(O60:O61)</f>
        <v>2156242</v>
      </c>
      <c r="R62" s="22"/>
      <c r="S62" s="68"/>
    </row>
    <row r="63" spans="2:6" ht="13.5" thickTop="1">
      <c r="B63" s="18" t="s">
        <v>374</v>
      </c>
      <c r="C63" s="68">
        <v>350</v>
      </c>
      <c r="D63" s="68"/>
      <c r="E63" s="68">
        <v>210000</v>
      </c>
      <c r="F63" s="195"/>
    </row>
    <row r="64" spans="2:6" ht="12.75">
      <c r="B64" s="18" t="s">
        <v>375</v>
      </c>
      <c r="C64" s="68">
        <v>70</v>
      </c>
      <c r="D64" s="68"/>
      <c r="E64" s="68">
        <v>42000</v>
      </c>
      <c r="F64" s="195"/>
    </row>
    <row r="65" spans="2:15" ht="12.75">
      <c r="B65" s="18" t="s">
        <v>376</v>
      </c>
      <c r="C65" s="68">
        <v>121</v>
      </c>
      <c r="D65" s="68"/>
      <c r="E65" s="68">
        <v>69600</v>
      </c>
      <c r="F65" s="195"/>
      <c r="O65" s="103"/>
    </row>
    <row r="66" spans="2:6" ht="12.75">
      <c r="B66" s="18" t="s">
        <v>377</v>
      </c>
      <c r="C66" s="68">
        <v>996</v>
      </c>
      <c r="D66" s="68"/>
      <c r="E66" s="68">
        <v>597600</v>
      </c>
      <c r="F66" s="195"/>
    </row>
    <row r="67" spans="2:6" ht="12.75">
      <c r="B67" s="18" t="s">
        <v>378</v>
      </c>
      <c r="C67" s="68">
        <v>200</v>
      </c>
      <c r="D67" s="68"/>
      <c r="E67" s="68">
        <v>150250</v>
      </c>
      <c r="F67" s="195"/>
    </row>
    <row r="68" spans="2:6" ht="12.75">
      <c r="B68" s="18" t="s">
        <v>236</v>
      </c>
      <c r="C68" s="68">
        <v>99</v>
      </c>
      <c r="D68" s="68"/>
      <c r="E68" s="68">
        <v>21450</v>
      </c>
      <c r="F68" s="195"/>
    </row>
    <row r="69" spans="2:6" ht="12.75">
      <c r="B69" s="18" t="s">
        <v>379</v>
      </c>
      <c r="C69" s="68">
        <v>150</v>
      </c>
      <c r="D69" s="68"/>
      <c r="E69" s="68">
        <v>3036</v>
      </c>
      <c r="F69" s="195"/>
    </row>
    <row r="70" spans="2:6" ht="12.75">
      <c r="B70" s="18" t="s">
        <v>380</v>
      </c>
      <c r="C70" s="68">
        <v>7025</v>
      </c>
      <c r="D70" s="68"/>
      <c r="E70" s="68">
        <v>4012450</v>
      </c>
      <c r="F70" s="195"/>
    </row>
    <row r="71" spans="2:6" ht="12.75">
      <c r="B71" s="18" t="s">
        <v>308</v>
      </c>
      <c r="C71" s="68">
        <f>114806+5406+30000</f>
        <v>150212</v>
      </c>
      <c r="D71" s="68"/>
      <c r="E71" s="68">
        <f>12754026+600600+950128-20873</f>
        <v>14283881</v>
      </c>
      <c r="F71" s="195"/>
    </row>
    <row r="72" spans="2:7" ht="13.5" thickBot="1">
      <c r="B72" s="8" t="s">
        <v>40</v>
      </c>
      <c r="C72" s="22"/>
      <c r="D72" s="68"/>
      <c r="E72" s="85">
        <f>SUM(E42:E71)</f>
        <v>48875800.25</v>
      </c>
      <c r="G72" s="103"/>
    </row>
    <row r="73" spans="2:5" ht="13.5" thickTop="1">
      <c r="B73" s="27"/>
      <c r="C73" s="86"/>
      <c r="D73" s="68"/>
      <c r="E73" s="109"/>
    </row>
    <row r="74" spans="2:5" ht="12.75">
      <c r="B74" s="27"/>
      <c r="C74" s="86"/>
      <c r="D74" s="68"/>
      <c r="E74" s="109"/>
    </row>
    <row r="75" spans="1:2" ht="12.75">
      <c r="A75" s="39" t="s">
        <v>110</v>
      </c>
      <c r="B75" s="8" t="s">
        <v>567</v>
      </c>
    </row>
    <row r="77" ht="12.75">
      <c r="B77" s="18" t="s">
        <v>109</v>
      </c>
    </row>
    <row r="79" spans="3:17" ht="12.75">
      <c r="C79" s="4" t="s">
        <v>298</v>
      </c>
      <c r="D79" s="4"/>
      <c r="E79" s="4" t="s">
        <v>300</v>
      </c>
      <c r="F79" s="4"/>
      <c r="G79" s="4" t="s">
        <v>301</v>
      </c>
      <c r="H79" s="4"/>
      <c r="I79" s="4" t="s">
        <v>302</v>
      </c>
      <c r="J79" s="4"/>
      <c r="K79" s="4" t="s">
        <v>303</v>
      </c>
      <c r="L79" s="4"/>
      <c r="M79" s="4" t="s">
        <v>304</v>
      </c>
      <c r="N79" s="4"/>
      <c r="O79" s="4">
        <v>2015</v>
      </c>
      <c r="P79" s="4"/>
      <c r="Q79" s="4">
        <v>2014</v>
      </c>
    </row>
    <row r="80" spans="2:19" ht="12.75">
      <c r="B80" s="18" t="s">
        <v>107</v>
      </c>
      <c r="C80" s="68">
        <v>0</v>
      </c>
      <c r="D80" s="68"/>
      <c r="E80" s="68">
        <v>6512489</v>
      </c>
      <c r="F80" s="68"/>
      <c r="G80" s="68">
        <v>9012458</v>
      </c>
      <c r="H80" s="68"/>
      <c r="I80" s="68">
        <f>27063128+60758</f>
        <v>27123886</v>
      </c>
      <c r="J80" s="68"/>
      <c r="K80" s="68">
        <v>0</v>
      </c>
      <c r="L80" s="68"/>
      <c r="M80" s="68">
        <v>4117101</v>
      </c>
      <c r="N80" s="68"/>
      <c r="O80" s="16">
        <f>SUM(C80:M80)</f>
        <v>46765934</v>
      </c>
      <c r="P80" s="68"/>
      <c r="Q80" s="68">
        <v>47041708</v>
      </c>
      <c r="R80" s="103"/>
      <c r="S80" s="103"/>
    </row>
    <row r="81" spans="2:19" ht="12.75">
      <c r="B81" s="18" t="s">
        <v>108</v>
      </c>
      <c r="C81" s="68">
        <v>0</v>
      </c>
      <c r="D81" s="68"/>
      <c r="E81" s="68">
        <v>4025301</v>
      </c>
      <c r="F81" s="68"/>
      <c r="G81" s="68">
        <v>6025705</v>
      </c>
      <c r="H81" s="68"/>
      <c r="I81" s="68">
        <v>16058920</v>
      </c>
      <c r="J81" s="68"/>
      <c r="K81" s="68">
        <v>28012360</v>
      </c>
      <c r="L81" s="68"/>
      <c r="M81" s="68">
        <v>1890584</v>
      </c>
      <c r="N81" s="68"/>
      <c r="O81" s="16">
        <f>SUM(C81:M81)</f>
        <v>56012870</v>
      </c>
      <c r="P81" s="68"/>
      <c r="Q81" s="68">
        <v>61245360</v>
      </c>
      <c r="R81" s="103"/>
      <c r="S81" s="103"/>
    </row>
    <row r="82" spans="2:19" ht="13.5" thickBot="1">
      <c r="B82" s="8" t="s">
        <v>40</v>
      </c>
      <c r="C82" s="85">
        <f>SUM(C80:C81)</f>
        <v>0</v>
      </c>
      <c r="D82" s="106"/>
      <c r="E82" s="85">
        <f>SUM(E80:E81)</f>
        <v>10537790</v>
      </c>
      <c r="F82" s="106"/>
      <c r="G82" s="85">
        <f>SUM(G80:G81)</f>
        <v>15038163</v>
      </c>
      <c r="H82" s="106"/>
      <c r="I82" s="85">
        <f>SUM(I80:I81)</f>
        <v>43182806</v>
      </c>
      <c r="J82" s="106"/>
      <c r="K82" s="85">
        <f>SUM(K80:K81)</f>
        <v>28012360</v>
      </c>
      <c r="L82" s="106"/>
      <c r="M82" s="85">
        <f>SUM(M80:M81)</f>
        <v>6007685</v>
      </c>
      <c r="N82" s="106"/>
      <c r="O82" s="85">
        <f>SUM(O80:O81)</f>
        <v>102778804</v>
      </c>
      <c r="P82" s="106"/>
      <c r="Q82" s="85">
        <v>108287068</v>
      </c>
      <c r="R82" s="103"/>
      <c r="S82" s="103"/>
    </row>
    <row r="83" ht="13.5" thickTop="1"/>
    <row r="84" spans="2:5" ht="12.75">
      <c r="B84" s="416" t="s">
        <v>338</v>
      </c>
      <c r="C84" s="416"/>
      <c r="D84" s="416"/>
      <c r="E84" s="416"/>
    </row>
    <row r="85" spans="2:5" ht="12.75">
      <c r="B85" s="7" t="s">
        <v>337</v>
      </c>
      <c r="C85" s="10"/>
      <c r="D85" s="7"/>
      <c r="E85" s="10"/>
    </row>
    <row r="86" spans="2:5" ht="12.75">
      <c r="B86" s="7"/>
      <c r="C86" s="10"/>
      <c r="D86" s="7"/>
      <c r="E86" s="10"/>
    </row>
    <row r="87" spans="2:5" ht="12.75">
      <c r="B87" s="7"/>
      <c r="C87" s="10"/>
      <c r="D87" s="7"/>
      <c r="E87" s="10"/>
    </row>
    <row r="88" spans="1:2" ht="12.75">
      <c r="A88" s="39" t="s">
        <v>111</v>
      </c>
      <c r="B88" s="8" t="s">
        <v>568</v>
      </c>
    </row>
    <row r="90" ht="12.75">
      <c r="B90" s="18" t="s">
        <v>103</v>
      </c>
    </row>
    <row r="91" spans="3:17" ht="12.75">
      <c r="C91" s="4" t="s">
        <v>298</v>
      </c>
      <c r="D91" s="4"/>
      <c r="E91" s="4" t="s">
        <v>300</v>
      </c>
      <c r="F91" s="4"/>
      <c r="G91" s="4" t="s">
        <v>301</v>
      </c>
      <c r="H91" s="4"/>
      <c r="I91" s="4" t="s">
        <v>302</v>
      </c>
      <c r="J91" s="4"/>
      <c r="K91" s="4" t="s">
        <v>303</v>
      </c>
      <c r="L91" s="4"/>
      <c r="M91" s="4" t="s">
        <v>304</v>
      </c>
      <c r="N91" s="4"/>
      <c r="O91" s="4">
        <v>2015</v>
      </c>
      <c r="P91" s="4"/>
      <c r="Q91" s="4">
        <v>2014</v>
      </c>
    </row>
    <row r="92" spans="2:17" ht="12.75">
      <c r="B92" s="8" t="s">
        <v>311</v>
      </c>
      <c r="C92" s="68"/>
      <c r="E92" s="67"/>
      <c r="G92" s="67"/>
      <c r="I92" s="67"/>
      <c r="K92" s="67"/>
      <c r="M92" s="67"/>
      <c r="O92" s="67"/>
      <c r="Q92" s="67"/>
    </row>
    <row r="93" spans="2:19" ht="12.75">
      <c r="B93" s="18" t="s">
        <v>112</v>
      </c>
      <c r="C93" s="68">
        <v>0</v>
      </c>
      <c r="D93" s="68"/>
      <c r="E93" s="68">
        <v>125750</v>
      </c>
      <c r="F93" s="68">
        <v>0</v>
      </c>
      <c r="G93" s="68">
        <v>436180</v>
      </c>
      <c r="H93" s="68"/>
      <c r="I93" s="68">
        <v>725431</v>
      </c>
      <c r="J93" s="68"/>
      <c r="K93" s="68">
        <v>845692</v>
      </c>
      <c r="L93" s="68"/>
      <c r="M93" s="68">
        <v>180246</v>
      </c>
      <c r="N93" s="68"/>
      <c r="O93" s="16">
        <v>2313299</v>
      </c>
      <c r="P93" s="68"/>
      <c r="Q93" s="68">
        <v>862039</v>
      </c>
      <c r="R93" s="103"/>
      <c r="S93" s="103"/>
    </row>
    <row r="94" spans="2:19" ht="12.75">
      <c r="B94" s="18" t="s">
        <v>113</v>
      </c>
      <c r="C94" s="68">
        <v>0</v>
      </c>
      <c r="D94" s="68"/>
      <c r="E94" s="68">
        <v>245360</v>
      </c>
      <c r="F94" s="68"/>
      <c r="G94" s="68">
        <v>384520</v>
      </c>
      <c r="H94" s="68"/>
      <c r="I94" s="68">
        <f>814250-60758</f>
        <v>753492</v>
      </c>
      <c r="J94" s="68"/>
      <c r="K94" s="68">
        <v>290307</v>
      </c>
      <c r="L94" s="68"/>
      <c r="M94" s="68">
        <v>338938</v>
      </c>
      <c r="N94" s="68"/>
      <c r="O94" s="16">
        <v>2012617</v>
      </c>
      <c r="P94" s="68"/>
      <c r="Q94" s="68">
        <v>1416923</v>
      </c>
      <c r="R94" s="103"/>
      <c r="S94" s="103"/>
    </row>
    <row r="95" spans="2:19" ht="12.75">
      <c r="B95" s="18" t="s">
        <v>114</v>
      </c>
      <c r="C95" s="68"/>
      <c r="D95" s="68"/>
      <c r="E95" s="68">
        <f>329490-375730</f>
        <v>-46240</v>
      </c>
      <c r="F95" s="68"/>
      <c r="G95" s="68">
        <f>1800823-503600</f>
        <v>1297223</v>
      </c>
      <c r="H95" s="68"/>
      <c r="I95" s="68">
        <f>2017747-726245</f>
        <v>1291502</v>
      </c>
      <c r="J95" s="68"/>
      <c r="K95" s="68">
        <f>3967342-17562</f>
        <v>3949780</v>
      </c>
      <c r="L95" s="68"/>
      <c r="M95" s="68">
        <f>957721-54538</f>
        <v>903183</v>
      </c>
      <c r="N95" s="68"/>
      <c r="O95" s="16">
        <v>7395448</v>
      </c>
      <c r="P95" s="68"/>
      <c r="Q95" s="16">
        <v>9073123</v>
      </c>
      <c r="R95" s="103"/>
      <c r="S95" s="103"/>
    </row>
    <row r="96" spans="2:19" ht="12.75">
      <c r="B96" s="8" t="s">
        <v>305</v>
      </c>
      <c r="C96" s="124">
        <f>SUM(C93:C95)</f>
        <v>0</v>
      </c>
      <c r="D96" s="106"/>
      <c r="E96" s="124">
        <f>SUM(E93:E95)</f>
        <v>324870</v>
      </c>
      <c r="F96" s="106"/>
      <c r="G96" s="124">
        <f>SUM(G93:G95)</f>
        <v>2117923</v>
      </c>
      <c r="H96" s="106"/>
      <c r="I96" s="124">
        <f>SUM(I93:I95)</f>
        <v>2770425</v>
      </c>
      <c r="J96" s="106"/>
      <c r="K96" s="124">
        <f>SUM(K93:K95)</f>
        <v>5085779</v>
      </c>
      <c r="L96" s="106"/>
      <c r="M96" s="124">
        <f>SUM(M93:M95)</f>
        <v>1422367</v>
      </c>
      <c r="N96" s="106"/>
      <c r="O96" s="124">
        <v>11721364</v>
      </c>
      <c r="P96" s="106"/>
      <c r="Q96" s="124">
        <v>11352085</v>
      </c>
      <c r="R96" s="103"/>
      <c r="S96" s="103"/>
    </row>
    <row r="97" spans="2:19" ht="12.75">
      <c r="B97" s="8" t="s">
        <v>312</v>
      </c>
      <c r="C97" s="68"/>
      <c r="D97" s="68"/>
      <c r="E97" s="68"/>
      <c r="F97" s="68"/>
      <c r="G97" s="68"/>
      <c r="H97" s="68"/>
      <c r="I97" s="68"/>
      <c r="J97" s="68"/>
      <c r="K97" s="68"/>
      <c r="L97" s="68"/>
      <c r="M97" s="68"/>
      <c r="N97" s="68"/>
      <c r="O97" s="68"/>
      <c r="P97" s="68"/>
      <c r="Q97" s="68"/>
      <c r="R97" s="103"/>
      <c r="S97" s="103"/>
    </row>
    <row r="98" spans="2:19" ht="12.75">
      <c r="B98" s="18" t="s">
        <v>115</v>
      </c>
      <c r="C98" s="68">
        <v>0</v>
      </c>
      <c r="D98" s="68"/>
      <c r="E98" s="68">
        <v>45315</v>
      </c>
      <c r="F98" s="68"/>
      <c r="G98" s="68">
        <v>51785</v>
      </c>
      <c r="H98" s="68"/>
      <c r="I98" s="68">
        <v>229751</v>
      </c>
      <c r="J98" s="68"/>
      <c r="K98" s="68">
        <v>100216</v>
      </c>
      <c r="L98" s="68"/>
      <c r="M98" s="68">
        <v>25003</v>
      </c>
      <c r="N98" s="68"/>
      <c r="O98" s="16">
        <v>452070</v>
      </c>
      <c r="P98" s="68"/>
      <c r="Q98" s="16">
        <v>452070</v>
      </c>
      <c r="R98" s="103"/>
      <c r="S98" s="103"/>
    </row>
    <row r="99" spans="2:19" ht="12.75">
      <c r="B99" s="18" t="s">
        <v>221</v>
      </c>
      <c r="C99" s="68">
        <v>0</v>
      </c>
      <c r="D99" s="68"/>
      <c r="E99" s="68">
        <v>16819</v>
      </c>
      <c r="F99" s="68"/>
      <c r="G99" s="68">
        <v>89894</v>
      </c>
      <c r="H99" s="68"/>
      <c r="I99" s="68">
        <v>149117</v>
      </c>
      <c r="J99" s="68"/>
      <c r="K99" s="68">
        <v>72120</v>
      </c>
      <c r="L99" s="68"/>
      <c r="M99" s="68">
        <v>131804</v>
      </c>
      <c r="N99" s="68"/>
      <c r="O99" s="16">
        <v>459754</v>
      </c>
      <c r="P99" s="68"/>
      <c r="Q99" s="68">
        <v>459754</v>
      </c>
      <c r="R99" s="103"/>
      <c r="S99" s="103"/>
    </row>
    <row r="100" spans="2:19" ht="12.75">
      <c r="B100" s="18" t="s">
        <v>116</v>
      </c>
      <c r="C100" s="68">
        <v>0</v>
      </c>
      <c r="D100" s="68"/>
      <c r="E100" s="68">
        <v>51426</v>
      </c>
      <c r="F100" s="68"/>
      <c r="G100" s="68">
        <v>65281</v>
      </c>
      <c r="H100" s="68"/>
      <c r="I100" s="68">
        <v>145482</v>
      </c>
      <c r="J100" s="68"/>
      <c r="K100" s="68">
        <v>81352</v>
      </c>
      <c r="L100" s="68"/>
      <c r="M100" s="68">
        <v>52059</v>
      </c>
      <c r="N100" s="68"/>
      <c r="O100" s="16">
        <v>395600</v>
      </c>
      <c r="P100" s="68"/>
      <c r="Q100" s="68">
        <v>395600</v>
      </c>
      <c r="R100" s="103"/>
      <c r="S100" s="103"/>
    </row>
    <row r="101" spans="2:19" ht="12.75">
      <c r="B101" s="18" t="s">
        <v>196</v>
      </c>
      <c r="C101" s="68">
        <v>0</v>
      </c>
      <c r="D101" s="68"/>
      <c r="E101" s="68">
        <v>1248920</v>
      </c>
      <c r="F101" s="68"/>
      <c r="G101" s="68">
        <v>3589120</v>
      </c>
      <c r="H101" s="68"/>
      <c r="I101" s="68">
        <v>6095125</v>
      </c>
      <c r="J101" s="68"/>
      <c r="K101" s="68">
        <v>750125</v>
      </c>
      <c r="L101" s="68"/>
      <c r="M101" s="68">
        <v>355600</v>
      </c>
      <c r="N101" s="68"/>
      <c r="O101" s="16">
        <v>12038890</v>
      </c>
      <c r="P101" s="68"/>
      <c r="Q101" s="68">
        <v>15175512</v>
      </c>
      <c r="R101" s="103"/>
      <c r="S101" s="103"/>
    </row>
    <row r="102" spans="2:19" ht="12.75">
      <c r="B102" s="8" t="s">
        <v>305</v>
      </c>
      <c r="C102" s="124">
        <f>SUM(C98:C101)</f>
        <v>0</v>
      </c>
      <c r="D102" s="8"/>
      <c r="E102" s="124">
        <f>SUM(E98:E101)</f>
        <v>1362480</v>
      </c>
      <c r="F102" s="8"/>
      <c r="G102" s="124">
        <f>SUM(G98:G101)</f>
        <v>3796080</v>
      </c>
      <c r="H102" s="8"/>
      <c r="I102" s="124">
        <f>SUM(I98:I101)</f>
        <v>6619475</v>
      </c>
      <c r="J102" s="8"/>
      <c r="K102" s="124">
        <f>SUM(K98:K101)</f>
        <v>1003813</v>
      </c>
      <c r="L102" s="8"/>
      <c r="M102" s="124">
        <f>SUM(M98:M101)</f>
        <v>564466</v>
      </c>
      <c r="N102" s="8"/>
      <c r="O102" s="124">
        <v>13346314</v>
      </c>
      <c r="P102" s="8"/>
      <c r="Q102" s="124">
        <v>16482936</v>
      </c>
      <c r="R102" s="103"/>
      <c r="S102" s="103"/>
    </row>
    <row r="103" spans="2:19" ht="13.5" thickBot="1">
      <c r="B103" s="8" t="s">
        <v>40</v>
      </c>
      <c r="C103" s="125">
        <f>C96+C102</f>
        <v>0</v>
      </c>
      <c r="D103" s="8"/>
      <c r="E103" s="125">
        <f>E96+E102</f>
        <v>1687350</v>
      </c>
      <c r="F103" s="125">
        <f aca="true" t="shared" si="1" ref="F103:N103">F96+F102</f>
        <v>0</v>
      </c>
      <c r="G103" s="125">
        <f t="shared" si="1"/>
        <v>5914003</v>
      </c>
      <c r="H103" s="125">
        <f t="shared" si="1"/>
        <v>0</v>
      </c>
      <c r="I103" s="125">
        <f t="shared" si="1"/>
        <v>9389900</v>
      </c>
      <c r="J103" s="125">
        <f t="shared" si="1"/>
        <v>0</v>
      </c>
      <c r="K103" s="125">
        <f t="shared" si="1"/>
        <v>6089592</v>
      </c>
      <c r="L103" s="125">
        <f t="shared" si="1"/>
        <v>0</v>
      </c>
      <c r="M103" s="125">
        <f t="shared" si="1"/>
        <v>1986833</v>
      </c>
      <c r="N103" s="125">
        <f t="shared" si="1"/>
        <v>0</v>
      </c>
      <c r="O103" s="125">
        <v>25067678</v>
      </c>
      <c r="P103" s="8"/>
      <c r="Q103" s="125">
        <v>27835021</v>
      </c>
      <c r="R103" s="103"/>
      <c r="S103" s="103"/>
    </row>
    <row r="104" ht="13.5" thickTop="1"/>
    <row r="105" spans="2:5" ht="12.75">
      <c r="B105" s="18" t="s">
        <v>342</v>
      </c>
      <c r="C105" s="68"/>
      <c r="E105" s="109"/>
    </row>
    <row r="106" spans="2:17" ht="25.5" customHeight="1">
      <c r="B106" s="415" t="s">
        <v>339</v>
      </c>
      <c r="C106" s="415"/>
      <c r="D106" s="415"/>
      <c r="E106" s="415"/>
      <c r="F106" s="415"/>
      <c r="G106" s="415"/>
      <c r="H106" s="415"/>
      <c r="I106" s="415"/>
      <c r="J106" s="415"/>
      <c r="K106" s="415"/>
      <c r="L106" s="415"/>
      <c r="M106" s="415"/>
      <c r="N106" s="415"/>
      <c r="O106" s="415"/>
      <c r="P106" s="415"/>
      <c r="Q106" s="415"/>
    </row>
    <row r="107" spans="2:5" ht="12.75">
      <c r="B107" s="18" t="s">
        <v>340</v>
      </c>
      <c r="C107" s="68"/>
      <c r="E107" s="68"/>
    </row>
    <row r="108" spans="2:5" ht="12.75">
      <c r="B108" s="416" t="s">
        <v>341</v>
      </c>
      <c r="C108" s="416"/>
      <c r="D108" s="416"/>
      <c r="E108" s="416"/>
    </row>
    <row r="112" spans="1:2" ht="12.75">
      <c r="A112" s="39" t="s">
        <v>117</v>
      </c>
      <c r="B112" s="8" t="s">
        <v>584</v>
      </c>
    </row>
    <row r="114" ht="12.75">
      <c r="B114" s="18" t="s">
        <v>109</v>
      </c>
    </row>
    <row r="116" spans="3:17" ht="12.75">
      <c r="C116" s="4" t="s">
        <v>298</v>
      </c>
      <c r="D116" s="4"/>
      <c r="E116" s="4" t="s">
        <v>300</v>
      </c>
      <c r="F116" s="4"/>
      <c r="G116" s="4" t="s">
        <v>301</v>
      </c>
      <c r="H116" s="4"/>
      <c r="I116" s="4" t="s">
        <v>302</v>
      </c>
      <c r="J116" s="4"/>
      <c r="K116" s="4" t="s">
        <v>303</v>
      </c>
      <c r="L116" s="4"/>
      <c r="M116" s="4" t="s">
        <v>304</v>
      </c>
      <c r="N116" s="4"/>
      <c r="O116" s="4">
        <v>2015</v>
      </c>
      <c r="P116" s="4"/>
      <c r="Q116" s="4">
        <v>2014</v>
      </c>
    </row>
    <row r="117" spans="2:17" ht="12.75">
      <c r="B117" s="8" t="s">
        <v>315</v>
      </c>
      <c r="C117" s="68"/>
      <c r="D117" s="68"/>
      <c r="E117" s="68"/>
      <c r="F117" s="68"/>
      <c r="G117" s="68"/>
      <c r="H117" s="68"/>
      <c r="I117" s="68"/>
      <c r="J117" s="68"/>
      <c r="K117" s="68"/>
      <c r="L117" s="68"/>
      <c r="M117" s="68"/>
      <c r="N117" s="68"/>
      <c r="O117" s="68"/>
      <c r="P117" s="68"/>
      <c r="Q117" s="68"/>
    </row>
    <row r="118" spans="2:19" ht="12.75">
      <c r="B118" s="18" t="s">
        <v>119</v>
      </c>
      <c r="C118" s="68">
        <v>0</v>
      </c>
      <c r="D118" s="68"/>
      <c r="E118" s="68">
        <v>35120</v>
      </c>
      <c r="F118" s="68"/>
      <c r="G118" s="68">
        <f>15780+4699</f>
        <v>20479</v>
      </c>
      <c r="H118" s="68"/>
      <c r="I118" s="68">
        <v>58421</v>
      </c>
      <c r="J118" s="68"/>
      <c r="K118" s="68">
        <v>6500</v>
      </c>
      <c r="L118" s="68"/>
      <c r="M118" s="68">
        <v>23450</v>
      </c>
      <c r="N118" s="68"/>
      <c r="O118" s="16">
        <v>143970</v>
      </c>
      <c r="P118" s="68"/>
      <c r="Q118" s="68">
        <v>500028</v>
      </c>
      <c r="R118" s="103"/>
      <c r="S118" s="103"/>
    </row>
    <row r="119" spans="2:19" ht="12.75">
      <c r="B119" s="18" t="s">
        <v>104</v>
      </c>
      <c r="C119" s="68">
        <v>0</v>
      </c>
      <c r="D119" s="68"/>
      <c r="E119" s="68">
        <f>86500-4143</f>
        <v>82357</v>
      </c>
      <c r="F119" s="68"/>
      <c r="G119" s="68">
        <v>118420</v>
      </c>
      <c r="H119" s="68"/>
      <c r="I119" s="68">
        <v>290124</v>
      </c>
      <c r="J119" s="68"/>
      <c r="K119" s="68">
        <v>52124</v>
      </c>
      <c r="L119" s="68"/>
      <c r="M119" s="68">
        <v>98213</v>
      </c>
      <c r="N119" s="68"/>
      <c r="O119" s="16">
        <v>641238</v>
      </c>
      <c r="P119" s="68"/>
      <c r="Q119" s="68">
        <v>264077</v>
      </c>
      <c r="R119" s="103"/>
      <c r="S119" s="103"/>
    </row>
    <row r="120" spans="2:19" ht="12.75">
      <c r="B120" s="8" t="s">
        <v>305</v>
      </c>
      <c r="C120" s="124">
        <f>SUM(C118:C119)</f>
        <v>0</v>
      </c>
      <c r="D120" s="106"/>
      <c r="E120" s="124">
        <f>SUM(E118:E119)</f>
        <v>117477</v>
      </c>
      <c r="F120" s="106"/>
      <c r="G120" s="124">
        <f>SUM(G118:G119)</f>
        <v>138899</v>
      </c>
      <c r="H120" s="106"/>
      <c r="I120" s="124">
        <f>SUM(I118:I119)</f>
        <v>348545</v>
      </c>
      <c r="J120" s="106"/>
      <c r="K120" s="124">
        <f>SUM(K118:K119)</f>
        <v>58624</v>
      </c>
      <c r="L120" s="106"/>
      <c r="M120" s="124">
        <f>SUM(M118:M119)</f>
        <v>121663</v>
      </c>
      <c r="N120" s="106"/>
      <c r="O120" s="124">
        <v>785208</v>
      </c>
      <c r="P120" s="106"/>
      <c r="Q120" s="124">
        <v>764105</v>
      </c>
      <c r="R120" s="103"/>
      <c r="S120" s="103"/>
    </row>
    <row r="121" spans="3:19" ht="12.75">
      <c r="C121" s="68"/>
      <c r="D121" s="68"/>
      <c r="E121" s="68"/>
      <c r="F121" s="68"/>
      <c r="G121" s="68"/>
      <c r="H121" s="68"/>
      <c r="I121" s="68"/>
      <c r="J121" s="68"/>
      <c r="K121" s="68"/>
      <c r="L121" s="68"/>
      <c r="M121" s="68"/>
      <c r="N121" s="68"/>
      <c r="O121" s="68"/>
      <c r="P121" s="68"/>
      <c r="Q121" s="68"/>
      <c r="R121" s="103"/>
      <c r="S121" s="103"/>
    </row>
    <row r="122" spans="2:19" ht="12.75">
      <c r="B122" s="8" t="s">
        <v>316</v>
      </c>
      <c r="C122" s="68"/>
      <c r="D122" s="68"/>
      <c r="E122" s="68"/>
      <c r="F122" s="68"/>
      <c r="G122" s="68"/>
      <c r="H122" s="68"/>
      <c r="I122" s="68"/>
      <c r="J122" s="68"/>
      <c r="K122" s="68"/>
      <c r="L122" s="68"/>
      <c r="M122" s="68"/>
      <c r="N122" s="68"/>
      <c r="O122" s="68"/>
      <c r="P122" s="68"/>
      <c r="Q122" s="68"/>
      <c r="R122" s="103"/>
      <c r="S122" s="103"/>
    </row>
    <row r="123" spans="2:19" ht="12.75">
      <c r="B123" s="18" t="s">
        <v>105</v>
      </c>
      <c r="C123" s="68">
        <v>0</v>
      </c>
      <c r="D123" s="68"/>
      <c r="E123" s="68">
        <v>1446</v>
      </c>
      <c r="F123" s="68"/>
      <c r="G123" s="68">
        <v>0</v>
      </c>
      <c r="H123" s="68"/>
      <c r="I123" s="68">
        <v>0</v>
      </c>
      <c r="J123" s="68"/>
      <c r="K123" s="68">
        <v>0</v>
      </c>
      <c r="L123" s="68"/>
      <c r="M123" s="68">
        <v>0</v>
      </c>
      <c r="N123" s="68"/>
      <c r="O123" s="16">
        <v>1446</v>
      </c>
      <c r="P123" s="68"/>
      <c r="Q123" s="68">
        <v>30148</v>
      </c>
      <c r="R123" s="103"/>
      <c r="S123" s="103"/>
    </row>
    <row r="124" spans="2:19" ht="12.75">
      <c r="B124" s="18" t="s">
        <v>197</v>
      </c>
      <c r="C124" s="68">
        <v>0</v>
      </c>
      <c r="D124" s="68"/>
      <c r="E124" s="68">
        <v>0</v>
      </c>
      <c r="F124" s="68"/>
      <c r="G124" s="68">
        <v>194940</v>
      </c>
      <c r="H124" s="68"/>
      <c r="I124" s="68">
        <v>0</v>
      </c>
      <c r="J124" s="68"/>
      <c r="K124" s="68">
        <v>0</v>
      </c>
      <c r="L124" s="68"/>
      <c r="M124" s="68">
        <v>0</v>
      </c>
      <c r="N124" s="68"/>
      <c r="O124" s="16">
        <v>194940</v>
      </c>
      <c r="P124" s="68"/>
      <c r="Q124" s="68">
        <v>405992</v>
      </c>
      <c r="R124" s="103"/>
      <c r="S124" s="103"/>
    </row>
    <row r="125" spans="2:19" ht="12.75">
      <c r="B125" s="18" t="s">
        <v>198</v>
      </c>
      <c r="C125" s="68">
        <v>0</v>
      </c>
      <c r="D125" s="68"/>
      <c r="E125" s="68">
        <v>0</v>
      </c>
      <c r="F125" s="68"/>
      <c r="G125" s="68">
        <f>2775-1150</f>
        <v>1625</v>
      </c>
      <c r="H125" s="68"/>
      <c r="I125" s="68">
        <v>0</v>
      </c>
      <c r="J125" s="68"/>
      <c r="K125" s="68">
        <v>0</v>
      </c>
      <c r="L125" s="68"/>
      <c r="M125" s="68">
        <v>0</v>
      </c>
      <c r="N125" s="68"/>
      <c r="O125" s="16">
        <v>1625</v>
      </c>
      <c r="P125" s="68"/>
      <c r="Q125" s="68">
        <v>2775</v>
      </c>
      <c r="R125" s="103"/>
      <c r="S125" s="103"/>
    </row>
    <row r="126" spans="2:19" ht="12.75">
      <c r="B126" s="18" t="s">
        <v>199</v>
      </c>
      <c r="C126" s="68">
        <v>0</v>
      </c>
      <c r="D126" s="68"/>
      <c r="E126" s="68">
        <v>0</v>
      </c>
      <c r="F126" s="68"/>
      <c r="G126" s="68">
        <v>94891</v>
      </c>
      <c r="H126" s="68"/>
      <c r="I126" s="68">
        <v>0</v>
      </c>
      <c r="J126" s="68"/>
      <c r="K126" s="68">
        <v>0</v>
      </c>
      <c r="L126" s="68"/>
      <c r="M126" s="68">
        <v>0</v>
      </c>
      <c r="N126" s="68"/>
      <c r="O126" s="16">
        <v>94891</v>
      </c>
      <c r="P126" s="68"/>
      <c r="Q126" s="68">
        <v>1265525</v>
      </c>
      <c r="R126" s="103"/>
      <c r="S126" s="103"/>
    </row>
    <row r="127" spans="2:19" ht="12.75">
      <c r="B127" s="18" t="s">
        <v>200</v>
      </c>
      <c r="C127" s="68">
        <v>0</v>
      </c>
      <c r="D127" s="68"/>
      <c r="E127" s="68">
        <v>0</v>
      </c>
      <c r="F127" s="68"/>
      <c r="G127" s="68">
        <v>0</v>
      </c>
      <c r="H127" s="68"/>
      <c r="I127" s="68">
        <v>75175</v>
      </c>
      <c r="J127" s="68"/>
      <c r="K127" s="68">
        <v>0</v>
      </c>
      <c r="L127" s="68"/>
      <c r="M127" s="68">
        <v>0</v>
      </c>
      <c r="N127" s="68"/>
      <c r="O127" s="16">
        <v>75175</v>
      </c>
      <c r="P127" s="68"/>
      <c r="Q127" s="68">
        <v>221169</v>
      </c>
      <c r="R127" s="103"/>
      <c r="S127" s="103"/>
    </row>
    <row r="128" spans="2:19" ht="12.75">
      <c r="B128" s="18" t="s">
        <v>569</v>
      </c>
      <c r="C128" s="68">
        <v>0</v>
      </c>
      <c r="D128" s="68"/>
      <c r="E128" s="68">
        <v>0</v>
      </c>
      <c r="F128" s="68"/>
      <c r="G128" s="68">
        <f>7074-1150</f>
        <v>5924</v>
      </c>
      <c r="H128" s="68"/>
      <c r="I128" s="68">
        <v>0</v>
      </c>
      <c r="J128" s="68"/>
      <c r="K128" s="68">
        <v>0</v>
      </c>
      <c r="L128" s="68"/>
      <c r="M128" s="68">
        <v>0</v>
      </c>
      <c r="N128" s="68"/>
      <c r="O128" s="16">
        <v>5924</v>
      </c>
      <c r="P128" s="68"/>
      <c r="Q128" s="68">
        <v>7074</v>
      </c>
      <c r="R128" s="103"/>
      <c r="S128" s="103"/>
    </row>
    <row r="129" spans="2:19" ht="12.75">
      <c r="B129" s="18" t="s">
        <v>201</v>
      </c>
      <c r="C129" s="68">
        <v>0</v>
      </c>
      <c r="D129" s="68"/>
      <c r="E129" s="68">
        <v>23279</v>
      </c>
      <c r="F129" s="68"/>
      <c r="G129" s="68">
        <v>0</v>
      </c>
      <c r="H129" s="68"/>
      <c r="I129" s="68">
        <v>0</v>
      </c>
      <c r="J129" s="68"/>
      <c r="K129" s="68">
        <v>0</v>
      </c>
      <c r="L129" s="68"/>
      <c r="M129" s="68">
        <v>0</v>
      </c>
      <c r="N129" s="68"/>
      <c r="O129" s="16">
        <v>23279</v>
      </c>
      <c r="P129" s="68"/>
      <c r="Q129" s="68">
        <v>23279</v>
      </c>
      <c r="R129" s="103"/>
      <c r="S129" s="103"/>
    </row>
    <row r="130" spans="2:19" ht="12.75">
      <c r="B130" s="18" t="s">
        <v>202</v>
      </c>
      <c r="C130" s="68">
        <v>0</v>
      </c>
      <c r="D130" s="68"/>
      <c r="E130" s="68">
        <v>0</v>
      </c>
      <c r="F130" s="68"/>
      <c r="G130" s="68">
        <v>0</v>
      </c>
      <c r="H130" s="68"/>
      <c r="I130" s="68">
        <v>74739</v>
      </c>
      <c r="J130" s="68"/>
      <c r="K130" s="68">
        <v>0</v>
      </c>
      <c r="L130" s="68"/>
      <c r="M130" s="68">
        <v>0</v>
      </c>
      <c r="N130" s="68"/>
      <c r="O130" s="16">
        <v>74739</v>
      </c>
      <c r="P130" s="68"/>
      <c r="Q130" s="68">
        <v>306841</v>
      </c>
      <c r="R130" s="103"/>
      <c r="S130" s="103"/>
    </row>
    <row r="131" spans="2:19" ht="12.75">
      <c r="B131" s="8" t="s">
        <v>305</v>
      </c>
      <c r="C131" s="124">
        <f>SUM(C123:C130)</f>
        <v>0</v>
      </c>
      <c r="D131" s="106"/>
      <c r="E131" s="124">
        <f>SUM(E123:E130)</f>
        <v>24725</v>
      </c>
      <c r="F131" s="124">
        <f aca="true" t="shared" si="2" ref="F131:N131">SUM(F123:F130)</f>
        <v>0</v>
      </c>
      <c r="G131" s="124">
        <f t="shared" si="2"/>
        <v>297380</v>
      </c>
      <c r="H131" s="124">
        <f t="shared" si="2"/>
        <v>0</v>
      </c>
      <c r="I131" s="124">
        <f t="shared" si="2"/>
        <v>149914</v>
      </c>
      <c r="J131" s="124">
        <f t="shared" si="2"/>
        <v>0</v>
      </c>
      <c r="K131" s="124">
        <f t="shared" si="2"/>
        <v>0</v>
      </c>
      <c r="L131" s="124">
        <f t="shared" si="2"/>
        <v>0</v>
      </c>
      <c r="M131" s="124">
        <f t="shared" si="2"/>
        <v>0</v>
      </c>
      <c r="N131" s="124">
        <f t="shared" si="2"/>
        <v>0</v>
      </c>
      <c r="O131" s="124">
        <v>472019</v>
      </c>
      <c r="P131" s="106"/>
      <c r="Q131" s="124">
        <v>2262803</v>
      </c>
      <c r="R131" s="103"/>
      <c r="S131" s="103"/>
    </row>
    <row r="132" spans="2:19" ht="13.5" thickBot="1">
      <c r="B132" s="8" t="s">
        <v>40</v>
      </c>
      <c r="C132" s="85">
        <f>C120+C131</f>
        <v>0</v>
      </c>
      <c r="D132" s="106"/>
      <c r="E132" s="85">
        <f>E120+E131</f>
        <v>142202</v>
      </c>
      <c r="F132" s="85">
        <f aca="true" t="shared" si="3" ref="F132:N132">F120+F131</f>
        <v>0</v>
      </c>
      <c r="G132" s="85">
        <f t="shared" si="3"/>
        <v>436279</v>
      </c>
      <c r="H132" s="85">
        <f t="shared" si="3"/>
        <v>0</v>
      </c>
      <c r="I132" s="85">
        <f t="shared" si="3"/>
        <v>498459</v>
      </c>
      <c r="J132" s="85">
        <f t="shared" si="3"/>
        <v>0</v>
      </c>
      <c r="K132" s="85">
        <f t="shared" si="3"/>
        <v>58624</v>
      </c>
      <c r="L132" s="85">
        <f t="shared" si="3"/>
        <v>0</v>
      </c>
      <c r="M132" s="85">
        <f t="shared" si="3"/>
        <v>121663</v>
      </c>
      <c r="N132" s="85">
        <f t="shared" si="3"/>
        <v>0</v>
      </c>
      <c r="O132" s="85">
        <v>1257227</v>
      </c>
      <c r="P132" s="106"/>
      <c r="Q132" s="85">
        <v>3026908</v>
      </c>
      <c r="R132" s="103"/>
      <c r="S132" s="103"/>
    </row>
    <row r="133" spans="3:17" ht="13.5" thickTop="1">
      <c r="C133" s="68"/>
      <c r="D133" s="68"/>
      <c r="E133" s="68"/>
      <c r="F133" s="68"/>
      <c r="G133" s="68"/>
      <c r="H133" s="68"/>
      <c r="I133" s="68"/>
      <c r="J133" s="68"/>
      <c r="K133" s="68"/>
      <c r="L133" s="68"/>
      <c r="M133" s="68"/>
      <c r="N133" s="68"/>
      <c r="O133" s="68"/>
      <c r="P133" s="68"/>
      <c r="Q133" s="68"/>
    </row>
    <row r="134" spans="2:5" ht="12.75">
      <c r="B134" s="18" t="s">
        <v>343</v>
      </c>
      <c r="C134" s="68"/>
      <c r="E134" s="68"/>
    </row>
    <row r="135" ht="12.75" customHeight="1">
      <c r="B135" s="18" t="s">
        <v>344</v>
      </c>
    </row>
  </sheetData>
  <sheetProtection/>
  <mergeCells count="4">
    <mergeCell ref="B12:Q12"/>
    <mergeCell ref="B84:E84"/>
    <mergeCell ref="B108:E108"/>
    <mergeCell ref="B106:Q106"/>
  </mergeCells>
  <printOptions horizontalCentered="1"/>
  <pageMargins left="0.5" right="0.5" top="1" bottom="1" header="0.21" footer="0.5"/>
  <pageSetup firstPageNumber="17" useFirstPageNumber="1" horizontalDpi="600" verticalDpi="600" orientation="landscape" paperSize="9" scale="95" r:id="rId1"/>
  <headerFooter alignWithMargins="0">
    <oddHeader>&amp;RHAQUE SHAH ALAM MANSUR &amp;&amp; CO.
Chartered Accountants</oddHeader>
    <oddFooter>&amp;C&amp;P</oddFooter>
  </headerFooter>
</worksheet>
</file>

<file path=xl/worksheets/sheet9.xml><?xml version="1.0" encoding="utf-8"?>
<worksheet xmlns="http://schemas.openxmlformats.org/spreadsheetml/2006/main" xmlns:r="http://schemas.openxmlformats.org/officeDocument/2006/relationships">
  <dimension ref="A1:H51"/>
  <sheetViews>
    <sheetView zoomScalePageLayoutView="0" workbookViewId="0" topLeftCell="A1">
      <selection activeCell="K60" sqref="K60"/>
    </sheetView>
  </sheetViews>
  <sheetFormatPr defaultColWidth="9.140625" defaultRowHeight="12.75"/>
  <cols>
    <col min="1" max="1" width="4.7109375" style="6" customWidth="1"/>
    <col min="2" max="2" width="18.7109375" style="0" customWidth="1"/>
    <col min="3" max="3" width="9.7109375" style="0" customWidth="1"/>
    <col min="4" max="5" width="10.7109375" style="0" customWidth="1"/>
    <col min="6" max="6" width="10.00390625" style="0" customWidth="1"/>
    <col min="7" max="8" width="11.7109375" style="0" customWidth="1"/>
    <col min="10" max="10" width="21.140625" style="0" customWidth="1"/>
  </cols>
  <sheetData>
    <row r="1" spans="1:2" ht="12.75">
      <c r="A1" s="39" t="s">
        <v>118</v>
      </c>
      <c r="B1" s="1" t="s">
        <v>585</v>
      </c>
    </row>
    <row r="3" spans="7:8" ht="12.75">
      <c r="G3" s="4">
        <v>2015</v>
      </c>
      <c r="H3" s="4">
        <v>2014</v>
      </c>
    </row>
    <row r="4" ht="12.75">
      <c r="B4" s="1" t="s">
        <v>313</v>
      </c>
    </row>
    <row r="5" ht="12.75">
      <c r="B5" s="1"/>
    </row>
    <row r="6" spans="2:8" ht="12.75">
      <c r="B6" s="7" t="s">
        <v>335</v>
      </c>
      <c r="G6" s="57">
        <v>500000000</v>
      </c>
      <c r="H6" s="57">
        <v>500000000</v>
      </c>
    </row>
    <row r="8" ht="12.75">
      <c r="B8" s="1" t="s">
        <v>314</v>
      </c>
    </row>
    <row r="9" ht="12.75">
      <c r="B9" s="1"/>
    </row>
    <row r="10" spans="2:8" ht="12.75">
      <c r="B10" s="7" t="s">
        <v>334</v>
      </c>
      <c r="G10" s="56">
        <v>48500000</v>
      </c>
      <c r="H10" s="56">
        <v>48500000</v>
      </c>
    </row>
    <row r="12" ht="12.75">
      <c r="B12" s="1" t="s">
        <v>2</v>
      </c>
    </row>
    <row r="13" spans="4:8" ht="12.75">
      <c r="D13" s="417">
        <v>2015</v>
      </c>
      <c r="E13" s="417"/>
      <c r="G13" s="417">
        <v>2014</v>
      </c>
      <c r="H13" s="417"/>
    </row>
    <row r="14" spans="4:8" ht="12.75">
      <c r="D14" s="6" t="s">
        <v>9</v>
      </c>
      <c r="E14" s="4" t="s">
        <v>10</v>
      </c>
      <c r="G14" s="6" t="s">
        <v>9</v>
      </c>
      <c r="H14" s="4" t="s">
        <v>10</v>
      </c>
    </row>
    <row r="15" spans="2:8" ht="12.75">
      <c r="B15" s="70" t="s">
        <v>120</v>
      </c>
      <c r="D15" s="5">
        <v>1950523</v>
      </c>
      <c r="E15" s="64">
        <f>D15/D19*100</f>
        <v>40.21696907216495</v>
      </c>
      <c r="G15" s="5">
        <v>1950523</v>
      </c>
      <c r="H15" s="64">
        <v>40.21696907216495</v>
      </c>
    </row>
    <row r="16" spans="2:8" ht="12.75">
      <c r="B16" s="70" t="s">
        <v>45</v>
      </c>
      <c r="D16" s="5">
        <v>2656437</v>
      </c>
      <c r="E16" s="64">
        <f>D16/D19*100</f>
        <v>54.7718969072165</v>
      </c>
      <c r="G16" s="5">
        <v>2539979</v>
      </c>
      <c r="H16" s="64">
        <v>52.37070103092783</v>
      </c>
    </row>
    <row r="17" spans="2:8" ht="12.75">
      <c r="B17" s="70" t="s">
        <v>121</v>
      </c>
      <c r="D17" s="5">
        <v>95700</v>
      </c>
      <c r="E17" s="64">
        <f>D17/D19*100</f>
        <v>1.97319587628866</v>
      </c>
      <c r="G17" s="5">
        <v>194548</v>
      </c>
      <c r="H17" s="64">
        <v>4.011298969072165</v>
      </c>
    </row>
    <row r="18" spans="2:8" ht="12.75">
      <c r="B18" t="s">
        <v>122</v>
      </c>
      <c r="D18" s="5">
        <v>147340</v>
      </c>
      <c r="E18" s="64">
        <f>D18/D19*100</f>
        <v>3.037938144329897</v>
      </c>
      <c r="G18" s="5">
        <v>164950</v>
      </c>
      <c r="H18" s="64">
        <v>3.401030927835052</v>
      </c>
    </row>
    <row r="19" spans="2:8" ht="13.5" thickBot="1">
      <c r="B19" t="s">
        <v>40</v>
      </c>
      <c r="D19" s="12">
        <f>SUM(D15:D18)</f>
        <v>4850000</v>
      </c>
      <c r="E19" s="53">
        <f>SUM(E15:E18)</f>
        <v>100</v>
      </c>
      <c r="G19" s="12">
        <v>4850000</v>
      </c>
      <c r="H19" s="53">
        <v>100</v>
      </c>
    </row>
    <row r="20" ht="13.5" thickTop="1"/>
    <row r="21" ht="12.75">
      <c r="B21" s="1" t="s">
        <v>1</v>
      </c>
    </row>
    <row r="23" spans="2:8" ht="37.5" customHeight="1">
      <c r="B23" s="418" t="s">
        <v>387</v>
      </c>
      <c r="C23" s="420"/>
      <c r="D23" s="420"/>
      <c r="E23" s="420"/>
      <c r="F23" s="420"/>
      <c r="G23" s="420"/>
      <c r="H23" s="420"/>
    </row>
    <row r="25" spans="2:8" ht="12.75">
      <c r="B25" s="50" t="s">
        <v>3</v>
      </c>
      <c r="C25" s="414" t="s">
        <v>223</v>
      </c>
      <c r="D25" s="419"/>
      <c r="E25" s="419" t="s">
        <v>9</v>
      </c>
      <c r="F25" s="419"/>
      <c r="G25" s="419" t="s">
        <v>12</v>
      </c>
      <c r="H25" s="419"/>
    </row>
    <row r="26" spans="2:8" ht="12.75">
      <c r="B26" s="51" t="s">
        <v>11</v>
      </c>
      <c r="C26" s="49">
        <v>2015</v>
      </c>
      <c r="D26" s="49">
        <v>2014</v>
      </c>
      <c r="E26" s="49">
        <v>2015</v>
      </c>
      <c r="F26" s="49">
        <v>2014</v>
      </c>
      <c r="G26" s="49">
        <v>2015</v>
      </c>
      <c r="H26" s="49">
        <v>2014</v>
      </c>
    </row>
    <row r="27" spans="2:8" ht="12.75">
      <c r="B27" s="194"/>
      <c r="C27" s="60"/>
      <c r="D27" s="60"/>
      <c r="E27" s="60"/>
      <c r="F27" s="60"/>
      <c r="G27" s="60"/>
      <c r="H27" s="60"/>
    </row>
    <row r="28" spans="2:8" ht="12.75">
      <c r="B28" s="63" t="s">
        <v>123</v>
      </c>
      <c r="C28" s="52">
        <v>2334</v>
      </c>
      <c r="D28" s="52">
        <v>2804</v>
      </c>
      <c r="E28" s="33">
        <v>311538</v>
      </c>
      <c r="F28" s="33">
        <v>394277</v>
      </c>
      <c r="G28" s="35">
        <v>6.42</v>
      </c>
      <c r="H28" s="35">
        <v>8.13</v>
      </c>
    </row>
    <row r="29" spans="2:8" ht="12.75">
      <c r="B29" s="36" t="s">
        <v>126</v>
      </c>
      <c r="C29" s="36">
        <v>378</v>
      </c>
      <c r="D29" s="36">
        <v>543</v>
      </c>
      <c r="E29" s="34">
        <v>609799</v>
      </c>
      <c r="F29" s="34">
        <v>825737</v>
      </c>
      <c r="G29" s="36">
        <v>12.57</v>
      </c>
      <c r="H29" s="36">
        <v>17.02</v>
      </c>
    </row>
    <row r="30" spans="2:8" ht="12.75">
      <c r="B30" s="36" t="s">
        <v>127</v>
      </c>
      <c r="C30" s="36">
        <v>34</v>
      </c>
      <c r="D30" s="36">
        <v>49</v>
      </c>
      <c r="E30" s="34">
        <v>245784</v>
      </c>
      <c r="F30" s="34">
        <v>352530</v>
      </c>
      <c r="G30" s="36">
        <v>5.07</v>
      </c>
      <c r="H30" s="36">
        <v>7.27</v>
      </c>
    </row>
    <row r="31" spans="2:8" ht="12.75">
      <c r="B31" s="36" t="s">
        <v>128</v>
      </c>
      <c r="C31" s="36">
        <v>29</v>
      </c>
      <c r="D31" s="36">
        <v>38</v>
      </c>
      <c r="E31" s="34">
        <v>417718</v>
      </c>
      <c r="F31" s="34">
        <v>553155</v>
      </c>
      <c r="G31" s="36">
        <v>8.61</v>
      </c>
      <c r="H31" s="36">
        <v>11.41</v>
      </c>
    </row>
    <row r="32" spans="2:8" ht="12.75">
      <c r="B32" s="36" t="s">
        <v>129</v>
      </c>
      <c r="C32" s="36">
        <v>9</v>
      </c>
      <c r="D32" s="36">
        <v>8</v>
      </c>
      <c r="E32" s="34">
        <v>218992</v>
      </c>
      <c r="F32" s="34">
        <v>201980</v>
      </c>
      <c r="G32" s="36">
        <v>4.52</v>
      </c>
      <c r="H32" s="36">
        <v>4.16</v>
      </c>
    </row>
    <row r="33" spans="2:8" ht="12.75">
      <c r="B33" s="36" t="s">
        <v>130</v>
      </c>
      <c r="C33" s="36">
        <v>7</v>
      </c>
      <c r="D33" s="36">
        <v>4</v>
      </c>
      <c r="E33" s="34">
        <v>229741</v>
      </c>
      <c r="F33" s="34">
        <v>142350</v>
      </c>
      <c r="G33" s="36">
        <v>4.74</v>
      </c>
      <c r="H33" s="36">
        <v>2.94</v>
      </c>
    </row>
    <row r="34" spans="2:8" ht="12.75">
      <c r="B34" s="36" t="s">
        <v>131</v>
      </c>
      <c r="C34" s="36">
        <v>1</v>
      </c>
      <c r="D34" s="36">
        <v>1</v>
      </c>
      <c r="E34" s="34">
        <v>47040</v>
      </c>
      <c r="F34" s="34">
        <v>44530</v>
      </c>
      <c r="G34" s="36">
        <v>0.97</v>
      </c>
      <c r="H34" s="36">
        <v>0.92</v>
      </c>
    </row>
    <row r="35" spans="2:8" ht="12.75">
      <c r="B35" s="36" t="s">
        <v>124</v>
      </c>
      <c r="C35" s="36">
        <v>16</v>
      </c>
      <c r="D35" s="36">
        <v>5</v>
      </c>
      <c r="E35" s="34">
        <v>1735638</v>
      </c>
      <c r="F35" s="34">
        <v>414718</v>
      </c>
      <c r="G35" s="36">
        <v>35.79</v>
      </c>
      <c r="H35" s="36">
        <v>8.55</v>
      </c>
    </row>
    <row r="36" spans="2:8" ht="12.75">
      <c r="B36" s="36" t="s">
        <v>125</v>
      </c>
      <c r="C36" s="36">
        <v>1</v>
      </c>
      <c r="D36" s="36">
        <v>6</v>
      </c>
      <c r="E36" s="34">
        <v>1033750</v>
      </c>
      <c r="F36" s="34">
        <v>1920723</v>
      </c>
      <c r="G36" s="36">
        <v>21.31</v>
      </c>
      <c r="H36" s="36">
        <v>39.6</v>
      </c>
    </row>
    <row r="37" spans="2:8" ht="13.5" thickBot="1">
      <c r="B37" s="120" t="s">
        <v>40</v>
      </c>
      <c r="C37" s="54">
        <f>SUM(C28:C36)</f>
        <v>2809</v>
      </c>
      <c r="D37" s="54">
        <v>3458</v>
      </c>
      <c r="E37" s="55">
        <f>SUM(E28:E36)</f>
        <v>4850000</v>
      </c>
      <c r="F37" s="55">
        <v>4850000</v>
      </c>
      <c r="G37" s="104">
        <f>SUM(G28:G36)</f>
        <v>100</v>
      </c>
      <c r="H37" s="104">
        <v>100</v>
      </c>
    </row>
    <row r="38" ht="13.5" thickTop="1"/>
    <row r="39" ht="12.75">
      <c r="B39" s="8" t="s">
        <v>5</v>
      </c>
    </row>
    <row r="40" spans="1:2" ht="12.75">
      <c r="A40" s="43"/>
      <c r="B40" s="43"/>
    </row>
    <row r="41" spans="2:8" ht="26.25" customHeight="1">
      <c r="B41" s="418" t="s">
        <v>57</v>
      </c>
      <c r="C41" s="418"/>
      <c r="D41" s="418"/>
      <c r="E41" s="418"/>
      <c r="F41" s="418"/>
      <c r="G41" s="418"/>
      <c r="H41" s="418"/>
    </row>
    <row r="42" spans="1:2" ht="12.75">
      <c r="A42" s="48"/>
      <c r="B42" s="18"/>
    </row>
    <row r="43" ht="12.75">
      <c r="B43" s="8" t="s">
        <v>4</v>
      </c>
    </row>
    <row r="44" spans="1:2" ht="12.75">
      <c r="A44" s="43"/>
      <c r="B44" s="43"/>
    </row>
    <row r="45" spans="2:8" ht="37.5" customHeight="1">
      <c r="B45" s="418" t="s">
        <v>570</v>
      </c>
      <c r="C45" s="418"/>
      <c r="D45" s="418"/>
      <c r="E45" s="418"/>
      <c r="F45" s="418"/>
      <c r="G45" s="418"/>
      <c r="H45" s="418"/>
    </row>
    <row r="46" s="7" customFormat="1" ht="12.75">
      <c r="A46" s="6"/>
    </row>
    <row r="47" s="7" customFormat="1" ht="12.75">
      <c r="A47" s="6"/>
    </row>
    <row r="48" s="7" customFormat="1" ht="12.75">
      <c r="A48" s="6"/>
    </row>
    <row r="49" s="7" customFormat="1" ht="12.75">
      <c r="A49" s="6"/>
    </row>
    <row r="50" s="7" customFormat="1" ht="12.75">
      <c r="A50" s="6"/>
    </row>
    <row r="51" s="7" customFormat="1" ht="12.75">
      <c r="A51" s="6"/>
    </row>
  </sheetData>
  <sheetProtection/>
  <mergeCells count="8">
    <mergeCell ref="D13:E13"/>
    <mergeCell ref="G13:H13"/>
    <mergeCell ref="B41:H41"/>
    <mergeCell ref="B45:H45"/>
    <mergeCell ref="C25:D25"/>
    <mergeCell ref="E25:F25"/>
    <mergeCell ref="G25:H25"/>
    <mergeCell ref="B23:H23"/>
  </mergeCells>
  <printOptions horizontalCentered="1"/>
  <pageMargins left="0.17" right="0.41" top="1" bottom="1" header="0.5" footer="0.5"/>
  <pageSetup firstPageNumber="21" useFirstPageNumber="1" horizontalDpi="600" verticalDpi="600" orientation="portrait" paperSize="9" r:id="rId1"/>
  <headerFooter alignWithMargins="0">
    <oddHeader>&amp;RHAQUE SHAH ALAM MANSUR &amp;&amp; CO.
Chartered Accountants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Tapas</dc:creator>
  <cp:keywords/>
  <dc:description/>
  <cp:lastModifiedBy>RKM</cp:lastModifiedBy>
  <cp:lastPrinted>2016-04-10T13:08:42Z</cp:lastPrinted>
  <dcterms:created xsi:type="dcterms:W3CDTF">2001-03-18T04:19:11Z</dcterms:created>
  <dcterms:modified xsi:type="dcterms:W3CDTF">2016-04-10T13:10:29Z</dcterms:modified>
  <cp:category/>
  <cp:version/>
  <cp:contentType/>
  <cp:contentStatus/>
</cp:coreProperties>
</file>